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Food and Nutrition\Commodities\State Processed Products\PrimeVendor\FInal\"/>
    </mc:Choice>
  </mc:AlternateContent>
  <bookViews>
    <workbookView xWindow="0" yWindow="0" windowWidth="23040" windowHeight="9015" tabRatio="850"/>
  </bookViews>
  <sheets>
    <sheet name="Instructions" sheetId="19" r:id="rId1"/>
    <sheet name="Beef" sheetId="6" r:id="rId2"/>
    <sheet name="Cheese" sheetId="1" r:id="rId3"/>
    <sheet name="Chicken" sheetId="7" r:id="rId4"/>
    <sheet name="Other Poultry" sheetId="8" r:id="rId5"/>
    <sheet name="Eggs" sheetId="9" r:id="rId6"/>
    <sheet name="Fruit" sheetId="10" r:id="rId7"/>
    <sheet name="Garbanzo Beans" sheetId="13" r:id="rId8"/>
    <sheet name="Mozzarella" sheetId="12" r:id="rId9"/>
    <sheet name="Peanut Butter" sheetId="11" r:id="rId10"/>
    <sheet name="Pork" sheetId="14" r:id="rId11"/>
    <sheet name="Potatoes" sheetId="18" r:id="rId12"/>
    <sheet name="Sunflower Seed Butter" sheetId="15" r:id="rId13"/>
    <sheet name="Sheet3" sheetId="3" state="hidden" r:id="rId14"/>
  </sheets>
  <calcPr calcId="152511"/>
  <pivotCaches>
    <pivotCache cacheId="1" r:id="rId1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" i="15" l="1"/>
  <c r="W4" i="15"/>
  <c r="W5" i="15"/>
  <c r="W6" i="15"/>
  <c r="W7" i="15"/>
  <c r="W8" i="15"/>
  <c r="W9" i="15"/>
  <c r="W10" i="15"/>
  <c r="V3" i="15"/>
  <c r="V4" i="15"/>
  <c r="V5" i="15"/>
  <c r="V6" i="15"/>
  <c r="V7" i="15"/>
  <c r="V8" i="15"/>
  <c r="V9" i="15"/>
  <c r="V10" i="15"/>
  <c r="U3" i="15"/>
  <c r="U4" i="15"/>
  <c r="U5" i="15"/>
  <c r="U6" i="15"/>
  <c r="U7" i="15"/>
  <c r="U8" i="15"/>
  <c r="U9" i="15"/>
  <c r="U10" i="15"/>
  <c r="S3" i="15"/>
  <c r="T3" i="15" s="1"/>
  <c r="S4" i="15"/>
  <c r="T4" i="15" s="1"/>
  <c r="S5" i="15"/>
  <c r="T5" i="15" s="1"/>
  <c r="S6" i="15"/>
  <c r="T6" i="15" s="1"/>
  <c r="S7" i="15"/>
  <c r="T7" i="15" s="1"/>
  <c r="S8" i="15"/>
  <c r="T8" i="15" s="1"/>
  <c r="S9" i="15"/>
  <c r="T9" i="15" s="1"/>
  <c r="S10" i="15"/>
  <c r="T10" i="15" s="1"/>
  <c r="R3" i="15"/>
  <c r="R4" i="15"/>
  <c r="R5" i="15"/>
  <c r="R6" i="15"/>
  <c r="R7" i="15"/>
  <c r="R8" i="15"/>
  <c r="R9" i="15"/>
  <c r="R10" i="15"/>
  <c r="W3" i="18"/>
  <c r="W4" i="18"/>
  <c r="W5" i="18"/>
  <c r="W6" i="18"/>
  <c r="W7" i="18"/>
  <c r="W8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W31" i="18"/>
  <c r="W32" i="18"/>
  <c r="W33" i="18"/>
  <c r="W34" i="18"/>
  <c r="W35" i="18"/>
  <c r="W36" i="18"/>
  <c r="W37" i="18"/>
  <c r="W38" i="18"/>
  <c r="W39" i="18"/>
  <c r="W40" i="18"/>
  <c r="W41" i="18"/>
  <c r="W42" i="18"/>
  <c r="W43" i="18"/>
  <c r="W44" i="18"/>
  <c r="W45" i="18"/>
  <c r="W46" i="18"/>
  <c r="W47" i="18"/>
  <c r="W48" i="18"/>
  <c r="W49" i="18"/>
  <c r="W50" i="18"/>
  <c r="W51" i="18"/>
  <c r="W52" i="18"/>
  <c r="W53" i="18"/>
  <c r="W54" i="18"/>
  <c r="W55" i="18"/>
  <c r="W56" i="18"/>
  <c r="W57" i="18"/>
  <c r="W58" i="18"/>
  <c r="W59" i="18"/>
  <c r="W60" i="18"/>
  <c r="W61" i="18"/>
  <c r="W62" i="18"/>
  <c r="W63" i="18"/>
  <c r="W64" i="18"/>
  <c r="W65" i="18"/>
  <c r="W66" i="18"/>
  <c r="W67" i="18"/>
  <c r="W68" i="18"/>
  <c r="W69" i="18"/>
  <c r="W70" i="18"/>
  <c r="W71" i="18"/>
  <c r="W72" i="18"/>
  <c r="W73" i="18"/>
  <c r="W74" i="18"/>
  <c r="W75" i="18"/>
  <c r="W76" i="18"/>
  <c r="W77" i="18"/>
  <c r="W78" i="18"/>
  <c r="W79" i="18"/>
  <c r="W80" i="18"/>
  <c r="V3" i="18"/>
  <c r="V4" i="18"/>
  <c r="V5" i="18"/>
  <c r="V6" i="18"/>
  <c r="V7" i="18"/>
  <c r="V8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V30" i="18"/>
  <c r="V31" i="18"/>
  <c r="V32" i="18"/>
  <c r="V33" i="18"/>
  <c r="V34" i="18"/>
  <c r="V35" i="18"/>
  <c r="V36" i="18"/>
  <c r="V37" i="18"/>
  <c r="V38" i="18"/>
  <c r="V39" i="18"/>
  <c r="V40" i="18"/>
  <c r="V41" i="18"/>
  <c r="V42" i="18"/>
  <c r="V43" i="18"/>
  <c r="V44" i="18"/>
  <c r="V45" i="18"/>
  <c r="V46" i="18"/>
  <c r="V47" i="18"/>
  <c r="V48" i="18"/>
  <c r="V49" i="18"/>
  <c r="V50" i="18"/>
  <c r="V51" i="18"/>
  <c r="V52" i="18"/>
  <c r="V53" i="18"/>
  <c r="V54" i="18"/>
  <c r="V55" i="18"/>
  <c r="V56" i="18"/>
  <c r="V57" i="18"/>
  <c r="V58" i="18"/>
  <c r="V59" i="18"/>
  <c r="V60" i="18"/>
  <c r="V61" i="18"/>
  <c r="V62" i="18"/>
  <c r="V63" i="18"/>
  <c r="V64" i="18"/>
  <c r="V65" i="18"/>
  <c r="V66" i="18"/>
  <c r="V67" i="18"/>
  <c r="V68" i="18"/>
  <c r="V69" i="18"/>
  <c r="V70" i="18"/>
  <c r="V71" i="18"/>
  <c r="V72" i="18"/>
  <c r="V73" i="18"/>
  <c r="V74" i="18"/>
  <c r="V75" i="18"/>
  <c r="V76" i="18"/>
  <c r="V77" i="18"/>
  <c r="V78" i="18"/>
  <c r="V79" i="18"/>
  <c r="V80" i="18"/>
  <c r="U3" i="18"/>
  <c r="U4" i="18"/>
  <c r="U5" i="18"/>
  <c r="U6" i="18"/>
  <c r="U7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U30" i="18"/>
  <c r="U31" i="18"/>
  <c r="U32" i="18"/>
  <c r="U33" i="18"/>
  <c r="U34" i="18"/>
  <c r="U35" i="18"/>
  <c r="U36" i="18"/>
  <c r="U37" i="18"/>
  <c r="U38" i="18"/>
  <c r="U39" i="18"/>
  <c r="U40" i="18"/>
  <c r="U41" i="18"/>
  <c r="U42" i="18"/>
  <c r="U43" i="18"/>
  <c r="U44" i="18"/>
  <c r="U45" i="18"/>
  <c r="U46" i="18"/>
  <c r="U47" i="18"/>
  <c r="U48" i="18"/>
  <c r="U49" i="18"/>
  <c r="U50" i="18"/>
  <c r="U51" i="18"/>
  <c r="U52" i="18"/>
  <c r="U53" i="18"/>
  <c r="U54" i="18"/>
  <c r="U55" i="18"/>
  <c r="U56" i="18"/>
  <c r="U57" i="18"/>
  <c r="U58" i="18"/>
  <c r="U59" i="18"/>
  <c r="U60" i="18"/>
  <c r="U61" i="18"/>
  <c r="U62" i="18"/>
  <c r="U63" i="18"/>
  <c r="U64" i="18"/>
  <c r="U65" i="18"/>
  <c r="U66" i="18"/>
  <c r="U67" i="18"/>
  <c r="U68" i="18"/>
  <c r="U69" i="18"/>
  <c r="U70" i="18"/>
  <c r="U71" i="18"/>
  <c r="U72" i="18"/>
  <c r="U73" i="18"/>
  <c r="U74" i="18"/>
  <c r="U75" i="18"/>
  <c r="U76" i="18"/>
  <c r="U77" i="18"/>
  <c r="U78" i="18"/>
  <c r="U79" i="18"/>
  <c r="U80" i="18"/>
  <c r="T6" i="18"/>
  <c r="T10" i="18"/>
  <c r="T14" i="18"/>
  <c r="T18" i="18"/>
  <c r="T22" i="18"/>
  <c r="T26" i="18"/>
  <c r="T30" i="18"/>
  <c r="T34" i="18"/>
  <c r="T38" i="18"/>
  <c r="T42" i="18"/>
  <c r="T46" i="18"/>
  <c r="T50" i="18"/>
  <c r="T54" i="18"/>
  <c r="T58" i="18"/>
  <c r="T62" i="18"/>
  <c r="T66" i="18"/>
  <c r="T70" i="18"/>
  <c r="T74" i="18"/>
  <c r="T78" i="18"/>
  <c r="S3" i="18"/>
  <c r="T3" i="18" s="1"/>
  <c r="S4" i="18"/>
  <c r="T4" i="18" s="1"/>
  <c r="S5" i="18"/>
  <c r="T5" i="18" s="1"/>
  <c r="S6" i="18"/>
  <c r="S7" i="18"/>
  <c r="T7" i="18" s="1"/>
  <c r="S8" i="18"/>
  <c r="T8" i="18" s="1"/>
  <c r="S9" i="18"/>
  <c r="T9" i="18" s="1"/>
  <c r="S10" i="18"/>
  <c r="S11" i="18"/>
  <c r="T11" i="18" s="1"/>
  <c r="S12" i="18"/>
  <c r="T12" i="18" s="1"/>
  <c r="S13" i="18"/>
  <c r="T13" i="18" s="1"/>
  <c r="S14" i="18"/>
  <c r="S15" i="18"/>
  <c r="T15" i="18" s="1"/>
  <c r="S16" i="18"/>
  <c r="T16" i="18" s="1"/>
  <c r="S17" i="18"/>
  <c r="T17" i="18" s="1"/>
  <c r="S18" i="18"/>
  <c r="S19" i="18"/>
  <c r="T19" i="18" s="1"/>
  <c r="S20" i="18"/>
  <c r="T20" i="18" s="1"/>
  <c r="S21" i="18"/>
  <c r="T21" i="18" s="1"/>
  <c r="S22" i="18"/>
  <c r="S23" i="18"/>
  <c r="T23" i="18" s="1"/>
  <c r="S24" i="18"/>
  <c r="T24" i="18" s="1"/>
  <c r="S25" i="18"/>
  <c r="T25" i="18" s="1"/>
  <c r="S26" i="18"/>
  <c r="S27" i="18"/>
  <c r="T27" i="18" s="1"/>
  <c r="S28" i="18"/>
  <c r="T28" i="18" s="1"/>
  <c r="S29" i="18"/>
  <c r="T29" i="18" s="1"/>
  <c r="S30" i="18"/>
  <c r="S31" i="18"/>
  <c r="T31" i="18" s="1"/>
  <c r="S32" i="18"/>
  <c r="T32" i="18" s="1"/>
  <c r="S33" i="18"/>
  <c r="T33" i="18" s="1"/>
  <c r="S34" i="18"/>
  <c r="S35" i="18"/>
  <c r="T35" i="18" s="1"/>
  <c r="S36" i="18"/>
  <c r="T36" i="18" s="1"/>
  <c r="S37" i="18"/>
  <c r="T37" i="18" s="1"/>
  <c r="S38" i="18"/>
  <c r="S39" i="18"/>
  <c r="T39" i="18" s="1"/>
  <c r="S40" i="18"/>
  <c r="T40" i="18" s="1"/>
  <c r="S41" i="18"/>
  <c r="T41" i="18" s="1"/>
  <c r="S42" i="18"/>
  <c r="S43" i="18"/>
  <c r="T43" i="18" s="1"/>
  <c r="S44" i="18"/>
  <c r="T44" i="18" s="1"/>
  <c r="S45" i="18"/>
  <c r="T45" i="18" s="1"/>
  <c r="S46" i="18"/>
  <c r="S47" i="18"/>
  <c r="T47" i="18" s="1"/>
  <c r="S48" i="18"/>
  <c r="T48" i="18" s="1"/>
  <c r="S49" i="18"/>
  <c r="T49" i="18" s="1"/>
  <c r="S50" i="18"/>
  <c r="S51" i="18"/>
  <c r="T51" i="18" s="1"/>
  <c r="S52" i="18"/>
  <c r="T52" i="18" s="1"/>
  <c r="S53" i="18"/>
  <c r="T53" i="18" s="1"/>
  <c r="S54" i="18"/>
  <c r="S55" i="18"/>
  <c r="T55" i="18" s="1"/>
  <c r="S56" i="18"/>
  <c r="T56" i="18" s="1"/>
  <c r="S57" i="18"/>
  <c r="T57" i="18" s="1"/>
  <c r="S58" i="18"/>
  <c r="S59" i="18"/>
  <c r="T59" i="18" s="1"/>
  <c r="S60" i="18"/>
  <c r="T60" i="18" s="1"/>
  <c r="S61" i="18"/>
  <c r="T61" i="18" s="1"/>
  <c r="S62" i="18"/>
  <c r="S63" i="18"/>
  <c r="T63" i="18" s="1"/>
  <c r="S64" i="18"/>
  <c r="T64" i="18" s="1"/>
  <c r="S65" i="18"/>
  <c r="T65" i="18" s="1"/>
  <c r="S66" i="18"/>
  <c r="S67" i="18"/>
  <c r="T67" i="18" s="1"/>
  <c r="S68" i="18"/>
  <c r="T68" i="18" s="1"/>
  <c r="S69" i="18"/>
  <c r="T69" i="18" s="1"/>
  <c r="S70" i="18"/>
  <c r="S71" i="18"/>
  <c r="T71" i="18" s="1"/>
  <c r="S72" i="18"/>
  <c r="T72" i="18" s="1"/>
  <c r="S73" i="18"/>
  <c r="T73" i="18" s="1"/>
  <c r="S74" i="18"/>
  <c r="S75" i="18"/>
  <c r="T75" i="18" s="1"/>
  <c r="S76" i="18"/>
  <c r="T76" i="18" s="1"/>
  <c r="S77" i="18"/>
  <c r="T77" i="18" s="1"/>
  <c r="S78" i="18"/>
  <c r="S79" i="18"/>
  <c r="T79" i="18" s="1"/>
  <c r="S80" i="18"/>
  <c r="T80" i="18" s="1"/>
  <c r="R3" i="18"/>
  <c r="R4" i="18"/>
  <c r="R5" i="18"/>
  <c r="R6" i="18"/>
  <c r="R7" i="18"/>
  <c r="R8" i="18"/>
  <c r="R9" i="18"/>
  <c r="R10" i="18"/>
  <c r="R11" i="18"/>
  <c r="R12" i="18"/>
  <c r="R13" i="18"/>
  <c r="R14" i="18"/>
  <c r="R15" i="18"/>
  <c r="R16" i="18"/>
  <c r="R17" i="18"/>
  <c r="R18" i="18"/>
  <c r="R19" i="18"/>
  <c r="R20" i="18"/>
  <c r="R21" i="18"/>
  <c r="R22" i="18"/>
  <c r="R23" i="18"/>
  <c r="R24" i="18"/>
  <c r="R25" i="18"/>
  <c r="R26" i="18"/>
  <c r="R27" i="18"/>
  <c r="R28" i="18"/>
  <c r="R29" i="18"/>
  <c r="R30" i="18"/>
  <c r="R31" i="18"/>
  <c r="R32" i="18"/>
  <c r="R33" i="18"/>
  <c r="R34" i="18"/>
  <c r="R35" i="18"/>
  <c r="R36" i="18"/>
  <c r="R37" i="18"/>
  <c r="R38" i="18"/>
  <c r="R39" i="18"/>
  <c r="R40" i="18"/>
  <c r="R41" i="18"/>
  <c r="R42" i="18"/>
  <c r="R43" i="18"/>
  <c r="R44" i="18"/>
  <c r="R45" i="18"/>
  <c r="R46" i="18"/>
  <c r="R47" i="18"/>
  <c r="R48" i="18"/>
  <c r="R49" i="18"/>
  <c r="R50" i="18"/>
  <c r="R51" i="18"/>
  <c r="R52" i="18"/>
  <c r="R53" i="18"/>
  <c r="R54" i="18"/>
  <c r="R55" i="18"/>
  <c r="R56" i="18"/>
  <c r="R57" i="18"/>
  <c r="R58" i="18"/>
  <c r="R59" i="18"/>
  <c r="R60" i="18"/>
  <c r="R61" i="18"/>
  <c r="R62" i="18"/>
  <c r="R63" i="18"/>
  <c r="R64" i="18"/>
  <c r="R65" i="18"/>
  <c r="R66" i="18"/>
  <c r="R67" i="18"/>
  <c r="R68" i="18"/>
  <c r="R69" i="18"/>
  <c r="R70" i="18"/>
  <c r="R71" i="18"/>
  <c r="R72" i="18"/>
  <c r="R73" i="18"/>
  <c r="R74" i="18"/>
  <c r="R75" i="18"/>
  <c r="R76" i="18"/>
  <c r="R77" i="18"/>
  <c r="R78" i="18"/>
  <c r="R79" i="18"/>
  <c r="R80" i="18"/>
  <c r="W3" i="14"/>
  <c r="W4" i="14"/>
  <c r="W5" i="14"/>
  <c r="W6" i="14"/>
  <c r="W7" i="14"/>
  <c r="W8" i="14"/>
  <c r="W9" i="14"/>
  <c r="W10" i="14"/>
  <c r="W11" i="14"/>
  <c r="W12" i="14"/>
  <c r="W13" i="14"/>
  <c r="W14" i="14"/>
  <c r="W15" i="14"/>
  <c r="W16" i="14"/>
  <c r="W17" i="14"/>
  <c r="W18" i="14"/>
  <c r="W19" i="14"/>
  <c r="W20" i="14"/>
  <c r="W21" i="14"/>
  <c r="W22" i="14"/>
  <c r="W23" i="14"/>
  <c r="W24" i="14"/>
  <c r="W25" i="14"/>
  <c r="W26" i="14"/>
  <c r="W27" i="14"/>
  <c r="W28" i="14"/>
  <c r="W29" i="14"/>
  <c r="W30" i="14"/>
  <c r="W31" i="14"/>
  <c r="W32" i="14"/>
  <c r="W33" i="14"/>
  <c r="W34" i="14"/>
  <c r="W35" i="14"/>
  <c r="W36" i="14"/>
  <c r="V3" i="14"/>
  <c r="V4" i="14"/>
  <c r="V5" i="14"/>
  <c r="V6" i="14"/>
  <c r="V7" i="14"/>
  <c r="V8" i="14"/>
  <c r="V9" i="14"/>
  <c r="V10" i="14"/>
  <c r="V11" i="14"/>
  <c r="V12" i="14"/>
  <c r="V13" i="14"/>
  <c r="V14" i="14"/>
  <c r="V15" i="14"/>
  <c r="V16" i="14"/>
  <c r="V17" i="14"/>
  <c r="V18" i="14"/>
  <c r="V19" i="14"/>
  <c r="V20" i="14"/>
  <c r="V21" i="14"/>
  <c r="V22" i="14"/>
  <c r="V23" i="14"/>
  <c r="V24" i="14"/>
  <c r="V25" i="14"/>
  <c r="V26" i="14"/>
  <c r="V27" i="14"/>
  <c r="V28" i="14"/>
  <c r="V29" i="14"/>
  <c r="V30" i="14"/>
  <c r="V31" i="14"/>
  <c r="V32" i="14"/>
  <c r="V33" i="14"/>
  <c r="V34" i="14"/>
  <c r="V35" i="14"/>
  <c r="V36" i="14"/>
  <c r="U3" i="14"/>
  <c r="U4" i="14"/>
  <c r="U5" i="14"/>
  <c r="U6" i="14"/>
  <c r="U7" i="14"/>
  <c r="U8" i="14"/>
  <c r="U9" i="14"/>
  <c r="U10" i="14"/>
  <c r="U11" i="14"/>
  <c r="U12" i="14"/>
  <c r="U13" i="14"/>
  <c r="U14" i="14"/>
  <c r="U15" i="14"/>
  <c r="U16" i="14"/>
  <c r="U17" i="14"/>
  <c r="U18" i="14"/>
  <c r="U19" i="14"/>
  <c r="U20" i="14"/>
  <c r="U21" i="14"/>
  <c r="U22" i="14"/>
  <c r="U23" i="14"/>
  <c r="U24" i="14"/>
  <c r="U25" i="14"/>
  <c r="U26" i="14"/>
  <c r="U27" i="14"/>
  <c r="U28" i="14"/>
  <c r="U29" i="14"/>
  <c r="U30" i="14"/>
  <c r="U31" i="14"/>
  <c r="U32" i="14"/>
  <c r="U33" i="14"/>
  <c r="U34" i="14"/>
  <c r="U35" i="14"/>
  <c r="U36" i="14"/>
  <c r="T3" i="14"/>
  <c r="T6" i="14"/>
  <c r="T7" i="14"/>
  <c r="T10" i="14"/>
  <c r="T11" i="14"/>
  <c r="T14" i="14"/>
  <c r="T15" i="14"/>
  <c r="T18" i="14"/>
  <c r="T19" i="14"/>
  <c r="T22" i="14"/>
  <c r="T23" i="14"/>
  <c r="T26" i="14"/>
  <c r="T27" i="14"/>
  <c r="T30" i="14"/>
  <c r="T31" i="14"/>
  <c r="T34" i="14"/>
  <c r="T35" i="14"/>
  <c r="S3" i="14"/>
  <c r="S4" i="14"/>
  <c r="T4" i="14" s="1"/>
  <c r="S5" i="14"/>
  <c r="T5" i="14" s="1"/>
  <c r="S6" i="14"/>
  <c r="S7" i="14"/>
  <c r="S8" i="14"/>
  <c r="T8" i="14" s="1"/>
  <c r="S9" i="14"/>
  <c r="T9" i="14" s="1"/>
  <c r="S10" i="14"/>
  <c r="S11" i="14"/>
  <c r="S12" i="14"/>
  <c r="T12" i="14" s="1"/>
  <c r="S13" i="14"/>
  <c r="T13" i="14" s="1"/>
  <c r="S14" i="14"/>
  <c r="S15" i="14"/>
  <c r="S16" i="14"/>
  <c r="T16" i="14" s="1"/>
  <c r="S17" i="14"/>
  <c r="T17" i="14" s="1"/>
  <c r="S18" i="14"/>
  <c r="S19" i="14"/>
  <c r="S20" i="14"/>
  <c r="T20" i="14" s="1"/>
  <c r="S21" i="14"/>
  <c r="T21" i="14" s="1"/>
  <c r="S22" i="14"/>
  <c r="S23" i="14"/>
  <c r="S24" i="14"/>
  <c r="T24" i="14" s="1"/>
  <c r="S25" i="14"/>
  <c r="T25" i="14" s="1"/>
  <c r="S26" i="14"/>
  <c r="S27" i="14"/>
  <c r="S28" i="14"/>
  <c r="T28" i="14" s="1"/>
  <c r="S29" i="14"/>
  <c r="T29" i="14" s="1"/>
  <c r="S30" i="14"/>
  <c r="S31" i="14"/>
  <c r="S32" i="14"/>
  <c r="T32" i="14" s="1"/>
  <c r="S33" i="14"/>
  <c r="T33" i="14" s="1"/>
  <c r="S34" i="14"/>
  <c r="S35" i="14"/>
  <c r="S36" i="14"/>
  <c r="T36" i="14" s="1"/>
  <c r="R3" i="14"/>
  <c r="R4" i="14"/>
  <c r="R5" i="14"/>
  <c r="R6" i="14"/>
  <c r="R7" i="14"/>
  <c r="R8" i="14"/>
  <c r="R9" i="14"/>
  <c r="R10" i="14"/>
  <c r="R11" i="14"/>
  <c r="R12" i="14"/>
  <c r="R13" i="14"/>
  <c r="R14" i="14"/>
  <c r="R15" i="14"/>
  <c r="R16" i="14"/>
  <c r="R17" i="14"/>
  <c r="R18" i="14"/>
  <c r="R19" i="14"/>
  <c r="R20" i="14"/>
  <c r="R21" i="14"/>
  <c r="R22" i="14"/>
  <c r="R23" i="14"/>
  <c r="R24" i="14"/>
  <c r="R25" i="14"/>
  <c r="R26" i="14"/>
  <c r="R27" i="14"/>
  <c r="R28" i="14"/>
  <c r="R29" i="14"/>
  <c r="R30" i="14"/>
  <c r="R31" i="14"/>
  <c r="R32" i="14"/>
  <c r="R33" i="14"/>
  <c r="R34" i="14"/>
  <c r="R35" i="14"/>
  <c r="R36" i="14"/>
  <c r="W3" i="11"/>
  <c r="W4" i="11"/>
  <c r="W5" i="11"/>
  <c r="W6" i="11"/>
  <c r="W7" i="11"/>
  <c r="W8" i="11"/>
  <c r="W9" i="11"/>
  <c r="W10" i="11"/>
  <c r="W11" i="11"/>
  <c r="W12" i="11"/>
  <c r="W13" i="11"/>
  <c r="W14" i="11"/>
  <c r="W15" i="11"/>
  <c r="W16" i="11"/>
  <c r="W17" i="11"/>
  <c r="W18" i="11"/>
  <c r="W19" i="11"/>
  <c r="W20" i="11"/>
  <c r="W21" i="11"/>
  <c r="W22" i="11"/>
  <c r="W23" i="11"/>
  <c r="W24" i="11"/>
  <c r="W25" i="11"/>
  <c r="W26" i="11"/>
  <c r="V3" i="11"/>
  <c r="V4" i="11"/>
  <c r="V5" i="11"/>
  <c r="V6" i="11"/>
  <c r="V7" i="11"/>
  <c r="V8" i="11"/>
  <c r="V9" i="11"/>
  <c r="V10" i="11"/>
  <c r="V11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V25" i="11"/>
  <c r="V26" i="11"/>
  <c r="U3" i="11"/>
  <c r="U4" i="11"/>
  <c r="U5" i="11"/>
  <c r="U6" i="11"/>
  <c r="U7" i="11"/>
  <c r="U8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S3" i="11"/>
  <c r="T3" i="11" s="1"/>
  <c r="S4" i="11"/>
  <c r="T4" i="11" s="1"/>
  <c r="S5" i="11"/>
  <c r="T5" i="11" s="1"/>
  <c r="S6" i="11"/>
  <c r="T6" i="11" s="1"/>
  <c r="S7" i="11"/>
  <c r="T7" i="11" s="1"/>
  <c r="S8" i="11"/>
  <c r="T8" i="11" s="1"/>
  <c r="S9" i="11"/>
  <c r="T9" i="11" s="1"/>
  <c r="S10" i="11"/>
  <c r="T10" i="11" s="1"/>
  <c r="S11" i="11"/>
  <c r="T11" i="11" s="1"/>
  <c r="S12" i="11"/>
  <c r="T12" i="11" s="1"/>
  <c r="S13" i="11"/>
  <c r="T13" i="11" s="1"/>
  <c r="S14" i="11"/>
  <c r="T14" i="11" s="1"/>
  <c r="S15" i="11"/>
  <c r="T15" i="11" s="1"/>
  <c r="S16" i="11"/>
  <c r="T16" i="11" s="1"/>
  <c r="S17" i="11"/>
  <c r="T17" i="11" s="1"/>
  <c r="S18" i="11"/>
  <c r="T18" i="11" s="1"/>
  <c r="S19" i="11"/>
  <c r="T19" i="11" s="1"/>
  <c r="S20" i="11"/>
  <c r="T20" i="11" s="1"/>
  <c r="S21" i="11"/>
  <c r="T21" i="11" s="1"/>
  <c r="S22" i="11"/>
  <c r="T22" i="11" s="1"/>
  <c r="S23" i="11"/>
  <c r="T23" i="11" s="1"/>
  <c r="S24" i="11"/>
  <c r="T24" i="11" s="1"/>
  <c r="S25" i="11"/>
  <c r="T25" i="11" s="1"/>
  <c r="S26" i="11"/>
  <c r="T26" i="11" s="1"/>
  <c r="R3" i="11"/>
  <c r="R4" i="11"/>
  <c r="R5" i="11"/>
  <c r="R6" i="11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W3" i="12"/>
  <c r="W4" i="12"/>
  <c r="W5" i="12"/>
  <c r="W6" i="12"/>
  <c r="W7" i="12"/>
  <c r="W8" i="12"/>
  <c r="W9" i="12"/>
  <c r="W10" i="12"/>
  <c r="W11" i="12"/>
  <c r="W12" i="12"/>
  <c r="W13" i="12"/>
  <c r="W14" i="12"/>
  <c r="W15" i="12"/>
  <c r="W16" i="12"/>
  <c r="W17" i="12"/>
  <c r="W18" i="12"/>
  <c r="W19" i="12"/>
  <c r="W20" i="12"/>
  <c r="W21" i="12"/>
  <c r="W22" i="12"/>
  <c r="W23" i="12"/>
  <c r="W24" i="12"/>
  <c r="W25" i="12"/>
  <c r="W26" i="12"/>
  <c r="W27" i="12"/>
  <c r="W28" i="12"/>
  <c r="W29" i="12"/>
  <c r="W30" i="12"/>
  <c r="W31" i="12"/>
  <c r="W32" i="12"/>
  <c r="W33" i="12"/>
  <c r="W34" i="12"/>
  <c r="W35" i="12"/>
  <c r="W36" i="12"/>
  <c r="W37" i="12"/>
  <c r="W38" i="12"/>
  <c r="W39" i="12"/>
  <c r="W40" i="12"/>
  <c r="W41" i="12"/>
  <c r="W42" i="12"/>
  <c r="W43" i="12"/>
  <c r="W44" i="12"/>
  <c r="W45" i="12"/>
  <c r="W46" i="12"/>
  <c r="W47" i="12"/>
  <c r="W48" i="12"/>
  <c r="W49" i="12"/>
  <c r="W50" i="12"/>
  <c r="W51" i="12"/>
  <c r="W52" i="12"/>
  <c r="W53" i="12"/>
  <c r="W54" i="12"/>
  <c r="W55" i="12"/>
  <c r="W56" i="12"/>
  <c r="W57" i="12"/>
  <c r="W58" i="12"/>
  <c r="W59" i="12"/>
  <c r="W60" i="12"/>
  <c r="W61" i="12"/>
  <c r="W62" i="12"/>
  <c r="W63" i="12"/>
  <c r="W64" i="12"/>
  <c r="W65" i="12"/>
  <c r="W66" i="12"/>
  <c r="W67" i="12"/>
  <c r="W68" i="12"/>
  <c r="W69" i="12"/>
  <c r="W70" i="12"/>
  <c r="W71" i="12"/>
  <c r="W72" i="12"/>
  <c r="W73" i="12"/>
  <c r="W74" i="12"/>
  <c r="W75" i="12"/>
  <c r="W76" i="12"/>
  <c r="W77" i="12"/>
  <c r="W78" i="12"/>
  <c r="W79" i="12"/>
  <c r="W80" i="12"/>
  <c r="W81" i="12"/>
  <c r="W82" i="12"/>
  <c r="W83" i="12"/>
  <c r="W84" i="12"/>
  <c r="W85" i="12"/>
  <c r="W86" i="12"/>
  <c r="W87" i="12"/>
  <c r="W88" i="12"/>
  <c r="W89" i="12"/>
  <c r="W90" i="12"/>
  <c r="W91" i="12"/>
  <c r="W92" i="12"/>
  <c r="W93" i="12"/>
  <c r="W94" i="12"/>
  <c r="W95" i="12"/>
  <c r="W96" i="12"/>
  <c r="W97" i="12"/>
  <c r="W98" i="12"/>
  <c r="W99" i="12"/>
  <c r="W100" i="12"/>
  <c r="W101" i="12"/>
  <c r="W102" i="12"/>
  <c r="W103" i="12"/>
  <c r="W104" i="12"/>
  <c r="W105" i="12"/>
  <c r="W106" i="12"/>
  <c r="W107" i="12"/>
  <c r="W108" i="12"/>
  <c r="W109" i="12"/>
  <c r="W110" i="12"/>
  <c r="W111" i="12"/>
  <c r="W112" i="12"/>
  <c r="W113" i="12"/>
  <c r="W114" i="12"/>
  <c r="W115" i="12"/>
  <c r="W116" i="12"/>
  <c r="W117" i="12"/>
  <c r="W118" i="12"/>
  <c r="W119" i="12"/>
  <c r="W120" i="12"/>
  <c r="W121" i="12"/>
  <c r="W122" i="12"/>
  <c r="W123" i="12"/>
  <c r="W124" i="12"/>
  <c r="W125" i="12"/>
  <c r="W126" i="12"/>
  <c r="W127" i="12"/>
  <c r="W128" i="12"/>
  <c r="W129" i="12"/>
  <c r="W130" i="12"/>
  <c r="W131" i="12"/>
  <c r="W132" i="12"/>
  <c r="W133" i="12"/>
  <c r="W134" i="12"/>
  <c r="W135" i="12"/>
  <c r="W136" i="12"/>
  <c r="W137" i="12"/>
  <c r="W138" i="12"/>
  <c r="W139" i="12"/>
  <c r="W140" i="12"/>
  <c r="W141" i="12"/>
  <c r="W142" i="12"/>
  <c r="W143" i="12"/>
  <c r="W144" i="12"/>
  <c r="W145" i="12"/>
  <c r="W146" i="12"/>
  <c r="W147" i="12"/>
  <c r="W148" i="12"/>
  <c r="W149" i="12"/>
  <c r="W150" i="12"/>
  <c r="W151" i="12"/>
  <c r="W152" i="12"/>
  <c r="W153" i="12"/>
  <c r="W154" i="12"/>
  <c r="W155" i="12"/>
  <c r="W156" i="12"/>
  <c r="W157" i="12"/>
  <c r="W158" i="12"/>
  <c r="W159" i="12"/>
  <c r="W160" i="12"/>
  <c r="W161" i="12"/>
  <c r="W162" i="12"/>
  <c r="W163" i="12"/>
  <c r="W164" i="12"/>
  <c r="V3" i="12"/>
  <c r="V4" i="12"/>
  <c r="V5" i="12"/>
  <c r="V6" i="12"/>
  <c r="V7" i="12"/>
  <c r="V8" i="12"/>
  <c r="V9" i="12"/>
  <c r="V10" i="12"/>
  <c r="V11" i="12"/>
  <c r="V12" i="12"/>
  <c r="V13" i="12"/>
  <c r="V14" i="12"/>
  <c r="V15" i="12"/>
  <c r="V16" i="12"/>
  <c r="V17" i="12"/>
  <c r="V18" i="12"/>
  <c r="V19" i="12"/>
  <c r="V20" i="12"/>
  <c r="V21" i="12"/>
  <c r="V22" i="12"/>
  <c r="V23" i="12"/>
  <c r="V24" i="12"/>
  <c r="V25" i="12"/>
  <c r="V26" i="12"/>
  <c r="V27" i="12"/>
  <c r="V28" i="12"/>
  <c r="V29" i="12"/>
  <c r="V30" i="12"/>
  <c r="V31" i="12"/>
  <c r="V32" i="12"/>
  <c r="V33" i="12"/>
  <c r="V34" i="12"/>
  <c r="V35" i="12"/>
  <c r="V36" i="12"/>
  <c r="V37" i="12"/>
  <c r="V38" i="12"/>
  <c r="V39" i="12"/>
  <c r="V40" i="12"/>
  <c r="V41" i="12"/>
  <c r="V42" i="12"/>
  <c r="V43" i="12"/>
  <c r="V44" i="12"/>
  <c r="V45" i="12"/>
  <c r="V46" i="12"/>
  <c r="V47" i="12"/>
  <c r="V48" i="12"/>
  <c r="V49" i="12"/>
  <c r="V50" i="12"/>
  <c r="V51" i="12"/>
  <c r="V52" i="12"/>
  <c r="V53" i="12"/>
  <c r="V54" i="12"/>
  <c r="V55" i="12"/>
  <c r="V56" i="12"/>
  <c r="V57" i="12"/>
  <c r="V58" i="12"/>
  <c r="V59" i="12"/>
  <c r="V60" i="12"/>
  <c r="V61" i="12"/>
  <c r="V62" i="12"/>
  <c r="V63" i="12"/>
  <c r="V64" i="12"/>
  <c r="V65" i="12"/>
  <c r="V66" i="12"/>
  <c r="V67" i="12"/>
  <c r="V68" i="12"/>
  <c r="V69" i="12"/>
  <c r="V70" i="12"/>
  <c r="V71" i="12"/>
  <c r="V72" i="12"/>
  <c r="V73" i="12"/>
  <c r="V74" i="12"/>
  <c r="V75" i="12"/>
  <c r="V76" i="12"/>
  <c r="V77" i="12"/>
  <c r="V78" i="12"/>
  <c r="V79" i="12"/>
  <c r="V80" i="12"/>
  <c r="V81" i="12"/>
  <c r="V82" i="12"/>
  <c r="V83" i="12"/>
  <c r="V84" i="12"/>
  <c r="V85" i="12"/>
  <c r="V86" i="12"/>
  <c r="V87" i="12"/>
  <c r="V88" i="12"/>
  <c r="V89" i="12"/>
  <c r="V90" i="12"/>
  <c r="V91" i="12"/>
  <c r="V92" i="12"/>
  <c r="V93" i="12"/>
  <c r="V94" i="12"/>
  <c r="V95" i="12"/>
  <c r="V96" i="12"/>
  <c r="V97" i="12"/>
  <c r="V98" i="12"/>
  <c r="V99" i="12"/>
  <c r="V100" i="12"/>
  <c r="V101" i="12"/>
  <c r="V102" i="12"/>
  <c r="V103" i="12"/>
  <c r="V104" i="12"/>
  <c r="V105" i="12"/>
  <c r="V106" i="12"/>
  <c r="V107" i="12"/>
  <c r="V108" i="12"/>
  <c r="V109" i="12"/>
  <c r="V110" i="12"/>
  <c r="V111" i="12"/>
  <c r="V112" i="12"/>
  <c r="V113" i="12"/>
  <c r="V114" i="12"/>
  <c r="V115" i="12"/>
  <c r="V116" i="12"/>
  <c r="V117" i="12"/>
  <c r="V118" i="12"/>
  <c r="V119" i="12"/>
  <c r="V120" i="12"/>
  <c r="V121" i="12"/>
  <c r="V122" i="12"/>
  <c r="V123" i="12"/>
  <c r="V124" i="12"/>
  <c r="V125" i="12"/>
  <c r="V126" i="12"/>
  <c r="V127" i="12"/>
  <c r="V128" i="12"/>
  <c r="V129" i="12"/>
  <c r="V130" i="12"/>
  <c r="V131" i="12"/>
  <c r="V132" i="12"/>
  <c r="V133" i="12"/>
  <c r="V134" i="12"/>
  <c r="V135" i="12"/>
  <c r="V136" i="12"/>
  <c r="V137" i="12"/>
  <c r="V138" i="12"/>
  <c r="V139" i="12"/>
  <c r="V140" i="12"/>
  <c r="V141" i="12"/>
  <c r="V142" i="12"/>
  <c r="V143" i="12"/>
  <c r="V144" i="12"/>
  <c r="V145" i="12"/>
  <c r="V146" i="12"/>
  <c r="V147" i="12"/>
  <c r="V148" i="12"/>
  <c r="V149" i="12"/>
  <c r="V150" i="12"/>
  <c r="V151" i="12"/>
  <c r="V152" i="12"/>
  <c r="V153" i="12"/>
  <c r="V154" i="12"/>
  <c r="V155" i="12"/>
  <c r="V156" i="12"/>
  <c r="V157" i="12"/>
  <c r="V158" i="12"/>
  <c r="V159" i="12"/>
  <c r="V160" i="12"/>
  <c r="V161" i="12"/>
  <c r="V162" i="12"/>
  <c r="V163" i="12"/>
  <c r="V164" i="12"/>
  <c r="U3" i="12"/>
  <c r="U4" i="12"/>
  <c r="U5" i="12"/>
  <c r="U6" i="12"/>
  <c r="U7" i="12"/>
  <c r="U8" i="12"/>
  <c r="U9" i="12"/>
  <c r="U10" i="12"/>
  <c r="U11" i="12"/>
  <c r="U12" i="12"/>
  <c r="U13" i="12"/>
  <c r="U14" i="12"/>
  <c r="U15" i="12"/>
  <c r="U16" i="12"/>
  <c r="U17" i="12"/>
  <c r="U18" i="12"/>
  <c r="U19" i="12"/>
  <c r="U20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U38" i="12"/>
  <c r="U39" i="12"/>
  <c r="U40" i="12"/>
  <c r="U41" i="12"/>
  <c r="U42" i="12"/>
  <c r="U43" i="12"/>
  <c r="U44" i="12"/>
  <c r="U45" i="12"/>
  <c r="U46" i="12"/>
  <c r="U47" i="12"/>
  <c r="U48" i="12"/>
  <c r="U49" i="12"/>
  <c r="U50" i="12"/>
  <c r="U51" i="12"/>
  <c r="U52" i="12"/>
  <c r="U53" i="12"/>
  <c r="U54" i="12"/>
  <c r="U55" i="12"/>
  <c r="U56" i="12"/>
  <c r="U57" i="12"/>
  <c r="U58" i="12"/>
  <c r="U59" i="12"/>
  <c r="U60" i="12"/>
  <c r="U61" i="12"/>
  <c r="U62" i="12"/>
  <c r="U63" i="12"/>
  <c r="U64" i="12"/>
  <c r="U65" i="12"/>
  <c r="U66" i="12"/>
  <c r="U67" i="12"/>
  <c r="U68" i="12"/>
  <c r="U69" i="12"/>
  <c r="U70" i="12"/>
  <c r="U71" i="12"/>
  <c r="U72" i="12"/>
  <c r="U73" i="12"/>
  <c r="U74" i="12"/>
  <c r="U75" i="12"/>
  <c r="U76" i="12"/>
  <c r="U77" i="12"/>
  <c r="U78" i="12"/>
  <c r="U79" i="12"/>
  <c r="U80" i="12"/>
  <c r="U81" i="12"/>
  <c r="U82" i="12"/>
  <c r="U83" i="12"/>
  <c r="U84" i="12"/>
  <c r="U85" i="12"/>
  <c r="U86" i="12"/>
  <c r="U87" i="12"/>
  <c r="U88" i="12"/>
  <c r="U89" i="12"/>
  <c r="U90" i="12"/>
  <c r="U91" i="12"/>
  <c r="U92" i="12"/>
  <c r="U93" i="12"/>
  <c r="U94" i="12"/>
  <c r="U95" i="12"/>
  <c r="U96" i="12"/>
  <c r="U97" i="12"/>
  <c r="U98" i="12"/>
  <c r="U99" i="12"/>
  <c r="U100" i="12"/>
  <c r="U101" i="12"/>
  <c r="U102" i="12"/>
  <c r="U103" i="12"/>
  <c r="U104" i="12"/>
  <c r="U105" i="12"/>
  <c r="U106" i="12"/>
  <c r="U107" i="12"/>
  <c r="U108" i="12"/>
  <c r="U109" i="12"/>
  <c r="U110" i="12"/>
  <c r="U111" i="12"/>
  <c r="U112" i="12"/>
  <c r="U113" i="12"/>
  <c r="U114" i="12"/>
  <c r="U115" i="12"/>
  <c r="U116" i="12"/>
  <c r="U117" i="12"/>
  <c r="U118" i="12"/>
  <c r="U119" i="12"/>
  <c r="U120" i="12"/>
  <c r="U121" i="12"/>
  <c r="U122" i="12"/>
  <c r="U123" i="12"/>
  <c r="U124" i="12"/>
  <c r="U125" i="12"/>
  <c r="U126" i="12"/>
  <c r="U127" i="12"/>
  <c r="U128" i="12"/>
  <c r="U129" i="12"/>
  <c r="U130" i="12"/>
  <c r="U131" i="12"/>
  <c r="U132" i="12"/>
  <c r="U133" i="12"/>
  <c r="U134" i="12"/>
  <c r="U135" i="12"/>
  <c r="U136" i="12"/>
  <c r="U137" i="12"/>
  <c r="U138" i="12"/>
  <c r="U139" i="12"/>
  <c r="U140" i="12"/>
  <c r="U141" i="12"/>
  <c r="U142" i="12"/>
  <c r="U143" i="12"/>
  <c r="U144" i="12"/>
  <c r="U145" i="12"/>
  <c r="U146" i="12"/>
  <c r="U147" i="12"/>
  <c r="U148" i="12"/>
  <c r="U149" i="12"/>
  <c r="U150" i="12"/>
  <c r="U151" i="12"/>
  <c r="U152" i="12"/>
  <c r="U153" i="12"/>
  <c r="U154" i="12"/>
  <c r="U155" i="12"/>
  <c r="U156" i="12"/>
  <c r="U157" i="12"/>
  <c r="U158" i="12"/>
  <c r="U159" i="12"/>
  <c r="U160" i="12"/>
  <c r="U161" i="12"/>
  <c r="U162" i="12"/>
  <c r="U163" i="12"/>
  <c r="U164" i="12"/>
  <c r="T6" i="12"/>
  <c r="T10" i="12"/>
  <c r="T14" i="12"/>
  <c r="T18" i="12"/>
  <c r="T22" i="12"/>
  <c r="T26" i="12"/>
  <c r="T30" i="12"/>
  <c r="T34" i="12"/>
  <c r="T38" i="12"/>
  <c r="T42" i="12"/>
  <c r="T46" i="12"/>
  <c r="T50" i="12"/>
  <c r="T54" i="12"/>
  <c r="T58" i="12"/>
  <c r="T62" i="12"/>
  <c r="T66" i="12"/>
  <c r="T70" i="12"/>
  <c r="T74" i="12"/>
  <c r="T78" i="12"/>
  <c r="T82" i="12"/>
  <c r="T86" i="12"/>
  <c r="T90" i="12"/>
  <c r="T94" i="12"/>
  <c r="T98" i="12"/>
  <c r="T102" i="12"/>
  <c r="T106" i="12"/>
  <c r="T110" i="12"/>
  <c r="T114" i="12"/>
  <c r="T118" i="12"/>
  <c r="T122" i="12"/>
  <c r="T126" i="12"/>
  <c r="T130" i="12"/>
  <c r="T134" i="12"/>
  <c r="T138" i="12"/>
  <c r="T142" i="12"/>
  <c r="T146" i="12"/>
  <c r="T150" i="12"/>
  <c r="T154" i="12"/>
  <c r="T158" i="12"/>
  <c r="T162" i="12"/>
  <c r="S4" i="12"/>
  <c r="T4" i="12" s="1"/>
  <c r="S5" i="12"/>
  <c r="T5" i="12" s="1"/>
  <c r="S6" i="12"/>
  <c r="S7" i="12"/>
  <c r="T7" i="12" s="1"/>
  <c r="S8" i="12"/>
  <c r="T8" i="12" s="1"/>
  <c r="S9" i="12"/>
  <c r="T9" i="12" s="1"/>
  <c r="S10" i="12"/>
  <c r="S11" i="12"/>
  <c r="T11" i="12" s="1"/>
  <c r="S12" i="12"/>
  <c r="T12" i="12" s="1"/>
  <c r="S13" i="12"/>
  <c r="T13" i="12" s="1"/>
  <c r="S14" i="12"/>
  <c r="S15" i="12"/>
  <c r="T15" i="12" s="1"/>
  <c r="S16" i="12"/>
  <c r="T16" i="12" s="1"/>
  <c r="S17" i="12"/>
  <c r="T17" i="12" s="1"/>
  <c r="S18" i="12"/>
  <c r="S19" i="12"/>
  <c r="T19" i="12" s="1"/>
  <c r="S20" i="12"/>
  <c r="T20" i="12" s="1"/>
  <c r="S21" i="12"/>
  <c r="T21" i="12" s="1"/>
  <c r="S22" i="12"/>
  <c r="S23" i="12"/>
  <c r="T23" i="12" s="1"/>
  <c r="S24" i="12"/>
  <c r="T24" i="12" s="1"/>
  <c r="S25" i="12"/>
  <c r="T25" i="12" s="1"/>
  <c r="S26" i="12"/>
  <c r="S27" i="12"/>
  <c r="T27" i="12" s="1"/>
  <c r="S28" i="12"/>
  <c r="T28" i="12" s="1"/>
  <c r="S29" i="12"/>
  <c r="T29" i="12" s="1"/>
  <c r="S30" i="12"/>
  <c r="S31" i="12"/>
  <c r="T31" i="12" s="1"/>
  <c r="S32" i="12"/>
  <c r="T32" i="12" s="1"/>
  <c r="S33" i="12"/>
  <c r="T33" i="12" s="1"/>
  <c r="S34" i="12"/>
  <c r="S35" i="12"/>
  <c r="T35" i="12" s="1"/>
  <c r="S36" i="12"/>
  <c r="T36" i="12" s="1"/>
  <c r="S37" i="12"/>
  <c r="T37" i="12" s="1"/>
  <c r="S38" i="12"/>
  <c r="S39" i="12"/>
  <c r="T39" i="12" s="1"/>
  <c r="S40" i="12"/>
  <c r="T40" i="12" s="1"/>
  <c r="S41" i="12"/>
  <c r="T41" i="12" s="1"/>
  <c r="S42" i="12"/>
  <c r="S43" i="12"/>
  <c r="T43" i="12" s="1"/>
  <c r="S44" i="12"/>
  <c r="T44" i="12" s="1"/>
  <c r="S45" i="12"/>
  <c r="T45" i="12" s="1"/>
  <c r="S46" i="12"/>
  <c r="S47" i="12"/>
  <c r="T47" i="12" s="1"/>
  <c r="S48" i="12"/>
  <c r="T48" i="12" s="1"/>
  <c r="S49" i="12"/>
  <c r="T49" i="12" s="1"/>
  <c r="S50" i="12"/>
  <c r="S51" i="12"/>
  <c r="T51" i="12" s="1"/>
  <c r="S52" i="12"/>
  <c r="T52" i="12" s="1"/>
  <c r="S53" i="12"/>
  <c r="T53" i="12" s="1"/>
  <c r="S54" i="12"/>
  <c r="S55" i="12"/>
  <c r="T55" i="12" s="1"/>
  <c r="S56" i="12"/>
  <c r="T56" i="12" s="1"/>
  <c r="S57" i="12"/>
  <c r="T57" i="12" s="1"/>
  <c r="S58" i="12"/>
  <c r="S59" i="12"/>
  <c r="T59" i="12" s="1"/>
  <c r="S60" i="12"/>
  <c r="T60" i="12" s="1"/>
  <c r="S61" i="12"/>
  <c r="T61" i="12" s="1"/>
  <c r="S62" i="12"/>
  <c r="S63" i="12"/>
  <c r="T63" i="12" s="1"/>
  <c r="S64" i="12"/>
  <c r="T64" i="12" s="1"/>
  <c r="S65" i="12"/>
  <c r="T65" i="12" s="1"/>
  <c r="S66" i="12"/>
  <c r="S67" i="12"/>
  <c r="T67" i="12" s="1"/>
  <c r="S68" i="12"/>
  <c r="T68" i="12" s="1"/>
  <c r="S69" i="12"/>
  <c r="T69" i="12" s="1"/>
  <c r="S70" i="12"/>
  <c r="S71" i="12"/>
  <c r="T71" i="12" s="1"/>
  <c r="S72" i="12"/>
  <c r="T72" i="12" s="1"/>
  <c r="S73" i="12"/>
  <c r="T73" i="12" s="1"/>
  <c r="S74" i="12"/>
  <c r="S75" i="12"/>
  <c r="T75" i="12" s="1"/>
  <c r="S76" i="12"/>
  <c r="T76" i="12" s="1"/>
  <c r="S77" i="12"/>
  <c r="T77" i="12" s="1"/>
  <c r="S78" i="12"/>
  <c r="S79" i="12"/>
  <c r="T79" i="12" s="1"/>
  <c r="S80" i="12"/>
  <c r="T80" i="12" s="1"/>
  <c r="S81" i="12"/>
  <c r="T81" i="12" s="1"/>
  <c r="S82" i="12"/>
  <c r="S83" i="12"/>
  <c r="T83" i="12" s="1"/>
  <c r="S84" i="12"/>
  <c r="T84" i="12" s="1"/>
  <c r="S85" i="12"/>
  <c r="T85" i="12" s="1"/>
  <c r="S86" i="12"/>
  <c r="S87" i="12"/>
  <c r="T87" i="12" s="1"/>
  <c r="S88" i="12"/>
  <c r="T88" i="12" s="1"/>
  <c r="S89" i="12"/>
  <c r="T89" i="12" s="1"/>
  <c r="S90" i="12"/>
  <c r="S91" i="12"/>
  <c r="T91" i="12" s="1"/>
  <c r="S92" i="12"/>
  <c r="T92" i="12" s="1"/>
  <c r="S93" i="12"/>
  <c r="T93" i="12" s="1"/>
  <c r="S94" i="12"/>
  <c r="S95" i="12"/>
  <c r="T95" i="12" s="1"/>
  <c r="S96" i="12"/>
  <c r="T96" i="12" s="1"/>
  <c r="S97" i="12"/>
  <c r="T97" i="12" s="1"/>
  <c r="S98" i="12"/>
  <c r="S99" i="12"/>
  <c r="T99" i="12" s="1"/>
  <c r="S100" i="12"/>
  <c r="T100" i="12" s="1"/>
  <c r="S101" i="12"/>
  <c r="T101" i="12" s="1"/>
  <c r="S102" i="12"/>
  <c r="S103" i="12"/>
  <c r="T103" i="12" s="1"/>
  <c r="S104" i="12"/>
  <c r="T104" i="12" s="1"/>
  <c r="S105" i="12"/>
  <c r="T105" i="12" s="1"/>
  <c r="S106" i="12"/>
  <c r="S107" i="12"/>
  <c r="T107" i="12" s="1"/>
  <c r="S108" i="12"/>
  <c r="T108" i="12" s="1"/>
  <c r="S109" i="12"/>
  <c r="T109" i="12" s="1"/>
  <c r="S110" i="12"/>
  <c r="S111" i="12"/>
  <c r="T111" i="12" s="1"/>
  <c r="S112" i="12"/>
  <c r="T112" i="12" s="1"/>
  <c r="S113" i="12"/>
  <c r="T113" i="12" s="1"/>
  <c r="S114" i="12"/>
  <c r="S115" i="12"/>
  <c r="T115" i="12" s="1"/>
  <c r="S116" i="12"/>
  <c r="T116" i="12" s="1"/>
  <c r="S117" i="12"/>
  <c r="T117" i="12" s="1"/>
  <c r="S118" i="12"/>
  <c r="S119" i="12"/>
  <c r="T119" i="12" s="1"/>
  <c r="S120" i="12"/>
  <c r="T120" i="12" s="1"/>
  <c r="S121" i="12"/>
  <c r="T121" i="12" s="1"/>
  <c r="S122" i="12"/>
  <c r="S123" i="12"/>
  <c r="T123" i="12" s="1"/>
  <c r="S124" i="12"/>
  <c r="T124" i="12" s="1"/>
  <c r="S125" i="12"/>
  <c r="T125" i="12" s="1"/>
  <c r="S126" i="12"/>
  <c r="S127" i="12"/>
  <c r="T127" i="12" s="1"/>
  <c r="S128" i="12"/>
  <c r="T128" i="12" s="1"/>
  <c r="S129" i="12"/>
  <c r="T129" i="12" s="1"/>
  <c r="S130" i="12"/>
  <c r="S131" i="12"/>
  <c r="T131" i="12" s="1"/>
  <c r="S132" i="12"/>
  <c r="T132" i="12" s="1"/>
  <c r="S133" i="12"/>
  <c r="T133" i="12" s="1"/>
  <c r="S134" i="12"/>
  <c r="S135" i="12"/>
  <c r="T135" i="12" s="1"/>
  <c r="S136" i="12"/>
  <c r="T136" i="12" s="1"/>
  <c r="S137" i="12"/>
  <c r="T137" i="12" s="1"/>
  <c r="S138" i="12"/>
  <c r="S139" i="12"/>
  <c r="T139" i="12" s="1"/>
  <c r="S140" i="12"/>
  <c r="T140" i="12" s="1"/>
  <c r="S141" i="12"/>
  <c r="T141" i="12" s="1"/>
  <c r="S142" i="12"/>
  <c r="S143" i="12"/>
  <c r="T143" i="12" s="1"/>
  <c r="S144" i="12"/>
  <c r="T144" i="12" s="1"/>
  <c r="S145" i="12"/>
  <c r="T145" i="12" s="1"/>
  <c r="S146" i="12"/>
  <c r="S147" i="12"/>
  <c r="T147" i="12" s="1"/>
  <c r="S148" i="12"/>
  <c r="T148" i="12" s="1"/>
  <c r="S149" i="12"/>
  <c r="T149" i="12" s="1"/>
  <c r="S150" i="12"/>
  <c r="S151" i="12"/>
  <c r="T151" i="12" s="1"/>
  <c r="S152" i="12"/>
  <c r="T152" i="12" s="1"/>
  <c r="S153" i="12"/>
  <c r="T153" i="12" s="1"/>
  <c r="S154" i="12"/>
  <c r="S155" i="12"/>
  <c r="T155" i="12" s="1"/>
  <c r="S156" i="12"/>
  <c r="T156" i="12" s="1"/>
  <c r="S157" i="12"/>
  <c r="T157" i="12" s="1"/>
  <c r="S158" i="12"/>
  <c r="S159" i="12"/>
  <c r="T159" i="12" s="1"/>
  <c r="S160" i="12"/>
  <c r="T160" i="12" s="1"/>
  <c r="S161" i="12"/>
  <c r="T161" i="12" s="1"/>
  <c r="S162" i="12"/>
  <c r="S163" i="12"/>
  <c r="T163" i="12" s="1"/>
  <c r="S164" i="12"/>
  <c r="T164" i="12" s="1"/>
  <c r="S3" i="12"/>
  <c r="T3" i="12" s="1"/>
  <c r="R3" i="12"/>
  <c r="R4" i="12"/>
  <c r="R5" i="12"/>
  <c r="R6" i="12"/>
  <c r="R7" i="12"/>
  <c r="R8" i="12"/>
  <c r="R9" i="12"/>
  <c r="R10" i="12"/>
  <c r="R11" i="12"/>
  <c r="R12" i="12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8" i="12"/>
  <c r="R29" i="12"/>
  <c r="R30" i="12"/>
  <c r="R31" i="12"/>
  <c r="R32" i="12"/>
  <c r="R33" i="12"/>
  <c r="R34" i="12"/>
  <c r="R35" i="12"/>
  <c r="R36" i="12"/>
  <c r="R37" i="12"/>
  <c r="R38" i="12"/>
  <c r="R39" i="12"/>
  <c r="R40" i="12"/>
  <c r="R41" i="12"/>
  <c r="R42" i="12"/>
  <c r="R43" i="12"/>
  <c r="R44" i="12"/>
  <c r="R45" i="12"/>
  <c r="R46" i="12"/>
  <c r="R47" i="12"/>
  <c r="R48" i="12"/>
  <c r="R49" i="12"/>
  <c r="R50" i="12"/>
  <c r="R51" i="12"/>
  <c r="R52" i="12"/>
  <c r="R53" i="12"/>
  <c r="R54" i="12"/>
  <c r="R55" i="12"/>
  <c r="R56" i="12"/>
  <c r="R57" i="12"/>
  <c r="R58" i="12"/>
  <c r="R59" i="12"/>
  <c r="R60" i="12"/>
  <c r="R61" i="12"/>
  <c r="R62" i="12"/>
  <c r="R63" i="12"/>
  <c r="R64" i="12"/>
  <c r="R65" i="12"/>
  <c r="R66" i="12"/>
  <c r="R67" i="12"/>
  <c r="R68" i="12"/>
  <c r="R69" i="12"/>
  <c r="R70" i="12"/>
  <c r="R71" i="12"/>
  <c r="R72" i="12"/>
  <c r="R73" i="12"/>
  <c r="R74" i="12"/>
  <c r="R75" i="12"/>
  <c r="R76" i="12"/>
  <c r="R77" i="12"/>
  <c r="R78" i="12"/>
  <c r="R79" i="12"/>
  <c r="R80" i="12"/>
  <c r="R81" i="12"/>
  <c r="R82" i="12"/>
  <c r="R83" i="12"/>
  <c r="R84" i="12"/>
  <c r="R85" i="12"/>
  <c r="R86" i="12"/>
  <c r="R87" i="12"/>
  <c r="R88" i="12"/>
  <c r="R89" i="12"/>
  <c r="R90" i="12"/>
  <c r="R91" i="12"/>
  <c r="R92" i="12"/>
  <c r="R93" i="12"/>
  <c r="R94" i="12"/>
  <c r="R95" i="12"/>
  <c r="R96" i="12"/>
  <c r="R97" i="12"/>
  <c r="R98" i="12"/>
  <c r="R99" i="12"/>
  <c r="R100" i="12"/>
  <c r="R101" i="12"/>
  <c r="R102" i="12"/>
  <c r="R103" i="12"/>
  <c r="R104" i="12"/>
  <c r="R105" i="12"/>
  <c r="R106" i="12"/>
  <c r="R107" i="12"/>
  <c r="R108" i="12"/>
  <c r="R109" i="12"/>
  <c r="R110" i="12"/>
  <c r="R111" i="12"/>
  <c r="R112" i="12"/>
  <c r="R113" i="12"/>
  <c r="R114" i="12"/>
  <c r="R115" i="12"/>
  <c r="R116" i="12"/>
  <c r="R117" i="12"/>
  <c r="R118" i="12"/>
  <c r="R119" i="12"/>
  <c r="R120" i="12"/>
  <c r="R121" i="12"/>
  <c r="R122" i="12"/>
  <c r="R123" i="12"/>
  <c r="R124" i="12"/>
  <c r="R125" i="12"/>
  <c r="R126" i="12"/>
  <c r="R127" i="12"/>
  <c r="R128" i="12"/>
  <c r="R129" i="12"/>
  <c r="R130" i="12"/>
  <c r="R131" i="12"/>
  <c r="R132" i="12"/>
  <c r="R133" i="12"/>
  <c r="R134" i="12"/>
  <c r="R135" i="12"/>
  <c r="R136" i="12"/>
  <c r="R137" i="12"/>
  <c r="R138" i="12"/>
  <c r="R139" i="12"/>
  <c r="R140" i="12"/>
  <c r="R141" i="12"/>
  <c r="R142" i="12"/>
  <c r="R143" i="12"/>
  <c r="R144" i="12"/>
  <c r="R145" i="12"/>
  <c r="R146" i="12"/>
  <c r="R147" i="12"/>
  <c r="R148" i="12"/>
  <c r="R149" i="12"/>
  <c r="R150" i="12"/>
  <c r="R151" i="12"/>
  <c r="R152" i="12"/>
  <c r="R153" i="12"/>
  <c r="R154" i="12"/>
  <c r="R155" i="12"/>
  <c r="R156" i="12"/>
  <c r="R157" i="12"/>
  <c r="R158" i="12"/>
  <c r="R159" i="12"/>
  <c r="R160" i="12"/>
  <c r="R161" i="12"/>
  <c r="R162" i="12"/>
  <c r="R163" i="12"/>
  <c r="R164" i="12"/>
  <c r="W3" i="13"/>
  <c r="W4" i="13"/>
  <c r="W5" i="13"/>
  <c r="W6" i="13"/>
  <c r="W7" i="13"/>
  <c r="W8" i="13"/>
  <c r="W9" i="13"/>
  <c r="W10" i="13"/>
  <c r="W11" i="13"/>
  <c r="W12" i="13"/>
  <c r="W13" i="13"/>
  <c r="W14" i="13"/>
  <c r="W15" i="13"/>
  <c r="W16" i="13"/>
  <c r="W17" i="13"/>
  <c r="W18" i="13"/>
  <c r="W19" i="13"/>
  <c r="W20" i="13"/>
  <c r="V3" i="13"/>
  <c r="V4" i="13"/>
  <c r="V5" i="13"/>
  <c r="V6" i="13"/>
  <c r="V7" i="13"/>
  <c r="V8" i="13"/>
  <c r="V9" i="13"/>
  <c r="V10" i="13"/>
  <c r="V11" i="13"/>
  <c r="V12" i="13"/>
  <c r="V13" i="13"/>
  <c r="V14" i="13"/>
  <c r="V15" i="13"/>
  <c r="V16" i="13"/>
  <c r="V17" i="13"/>
  <c r="V18" i="13"/>
  <c r="V19" i="13"/>
  <c r="V20" i="13"/>
  <c r="U3" i="13"/>
  <c r="U4" i="13"/>
  <c r="U5" i="13"/>
  <c r="U6" i="13"/>
  <c r="U7" i="13"/>
  <c r="U8" i="13"/>
  <c r="U9" i="13"/>
  <c r="U10" i="13"/>
  <c r="U11" i="13"/>
  <c r="U12" i="13"/>
  <c r="U13" i="13"/>
  <c r="U14" i="13"/>
  <c r="U15" i="13"/>
  <c r="U16" i="13"/>
  <c r="U17" i="13"/>
  <c r="U18" i="13"/>
  <c r="U19" i="13"/>
  <c r="U20" i="13"/>
  <c r="T6" i="13"/>
  <c r="T10" i="13"/>
  <c r="T14" i="13"/>
  <c r="T18" i="13"/>
  <c r="S3" i="13"/>
  <c r="T3" i="13" s="1"/>
  <c r="S4" i="13"/>
  <c r="T4" i="13" s="1"/>
  <c r="S5" i="13"/>
  <c r="T5" i="13" s="1"/>
  <c r="S6" i="13"/>
  <c r="S7" i="13"/>
  <c r="T7" i="13" s="1"/>
  <c r="S8" i="13"/>
  <c r="T8" i="13" s="1"/>
  <c r="S9" i="13"/>
  <c r="T9" i="13" s="1"/>
  <c r="S10" i="13"/>
  <c r="S11" i="13"/>
  <c r="T11" i="13" s="1"/>
  <c r="S12" i="13"/>
  <c r="T12" i="13" s="1"/>
  <c r="S13" i="13"/>
  <c r="T13" i="13" s="1"/>
  <c r="S14" i="13"/>
  <c r="S15" i="13"/>
  <c r="T15" i="13" s="1"/>
  <c r="S16" i="13"/>
  <c r="T16" i="13" s="1"/>
  <c r="S17" i="13"/>
  <c r="T17" i="13" s="1"/>
  <c r="S18" i="13"/>
  <c r="S19" i="13"/>
  <c r="T19" i="13" s="1"/>
  <c r="S20" i="13"/>
  <c r="T20" i="13" s="1"/>
  <c r="R3" i="13"/>
  <c r="R4" i="13"/>
  <c r="R5" i="13"/>
  <c r="R6" i="13"/>
  <c r="R7" i="13"/>
  <c r="R8" i="13"/>
  <c r="R9" i="13"/>
  <c r="R10" i="13"/>
  <c r="R11" i="13"/>
  <c r="R12" i="13"/>
  <c r="R13" i="13"/>
  <c r="R14" i="13"/>
  <c r="R15" i="13"/>
  <c r="R16" i="13"/>
  <c r="R17" i="13"/>
  <c r="R18" i="13"/>
  <c r="R19" i="13"/>
  <c r="R20" i="13"/>
  <c r="W3" i="10"/>
  <c r="W4" i="10"/>
  <c r="W5" i="10"/>
  <c r="W6" i="10"/>
  <c r="W7" i="10"/>
  <c r="W8" i="10"/>
  <c r="W9" i="10"/>
  <c r="W10" i="10"/>
  <c r="W11" i="10"/>
  <c r="W12" i="10"/>
  <c r="W13" i="10"/>
  <c r="W14" i="10"/>
  <c r="W15" i="10"/>
  <c r="W16" i="10"/>
  <c r="W17" i="10"/>
  <c r="W18" i="10"/>
  <c r="W19" i="10"/>
  <c r="W20" i="10"/>
  <c r="W21" i="10"/>
  <c r="W22" i="10"/>
  <c r="W23" i="10"/>
  <c r="W24" i="10"/>
  <c r="W25" i="10"/>
  <c r="W26" i="10"/>
  <c r="W27" i="10"/>
  <c r="W28" i="10"/>
  <c r="W29" i="10"/>
  <c r="W30" i="10"/>
  <c r="W31" i="10"/>
  <c r="W32" i="10"/>
  <c r="W33" i="10"/>
  <c r="W34" i="10"/>
  <c r="W35" i="10"/>
  <c r="W36" i="10"/>
  <c r="W37" i="10"/>
  <c r="W38" i="10"/>
  <c r="W39" i="10"/>
  <c r="W40" i="10"/>
  <c r="W41" i="10"/>
  <c r="W42" i="10"/>
  <c r="V3" i="10"/>
  <c r="V4" i="10"/>
  <c r="V5" i="10"/>
  <c r="V6" i="10"/>
  <c r="V7" i="10"/>
  <c r="V8" i="10"/>
  <c r="V9" i="10"/>
  <c r="V10" i="10"/>
  <c r="V11" i="10"/>
  <c r="V12" i="10"/>
  <c r="V13" i="10"/>
  <c r="V14" i="10"/>
  <c r="V15" i="10"/>
  <c r="V16" i="10"/>
  <c r="V17" i="10"/>
  <c r="V18" i="10"/>
  <c r="V19" i="10"/>
  <c r="V20" i="10"/>
  <c r="V21" i="10"/>
  <c r="V22" i="10"/>
  <c r="V23" i="10"/>
  <c r="V24" i="10"/>
  <c r="V25" i="10"/>
  <c r="V26" i="10"/>
  <c r="V27" i="10"/>
  <c r="V28" i="10"/>
  <c r="V29" i="10"/>
  <c r="V30" i="10"/>
  <c r="V31" i="10"/>
  <c r="V32" i="10"/>
  <c r="V33" i="10"/>
  <c r="V34" i="10"/>
  <c r="V35" i="10"/>
  <c r="V36" i="10"/>
  <c r="V37" i="10"/>
  <c r="V38" i="10"/>
  <c r="V39" i="10"/>
  <c r="V40" i="10"/>
  <c r="V41" i="10"/>
  <c r="V42" i="10"/>
  <c r="U3" i="10"/>
  <c r="U4" i="10"/>
  <c r="U5" i="10"/>
  <c r="U6" i="10"/>
  <c r="U7" i="10"/>
  <c r="U8" i="10"/>
  <c r="U9" i="10"/>
  <c r="U10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27" i="10"/>
  <c r="U28" i="10"/>
  <c r="U29" i="10"/>
  <c r="U30" i="10"/>
  <c r="U31" i="10"/>
  <c r="U32" i="10"/>
  <c r="U33" i="10"/>
  <c r="U34" i="10"/>
  <c r="U35" i="10"/>
  <c r="U36" i="10"/>
  <c r="U37" i="10"/>
  <c r="U38" i="10"/>
  <c r="U39" i="10"/>
  <c r="U40" i="10"/>
  <c r="U41" i="10"/>
  <c r="U42" i="10"/>
  <c r="S3" i="10"/>
  <c r="T3" i="10" s="1"/>
  <c r="S4" i="10"/>
  <c r="T4" i="10" s="1"/>
  <c r="S5" i="10"/>
  <c r="T5" i="10" s="1"/>
  <c r="S6" i="10"/>
  <c r="T6" i="10" s="1"/>
  <c r="S7" i="10"/>
  <c r="T7" i="10" s="1"/>
  <c r="S8" i="10"/>
  <c r="T8" i="10" s="1"/>
  <c r="S9" i="10"/>
  <c r="T9" i="10" s="1"/>
  <c r="S10" i="10"/>
  <c r="T10" i="10" s="1"/>
  <c r="S11" i="10"/>
  <c r="T11" i="10" s="1"/>
  <c r="S12" i="10"/>
  <c r="T12" i="10" s="1"/>
  <c r="S13" i="10"/>
  <c r="T13" i="10" s="1"/>
  <c r="S14" i="10"/>
  <c r="T14" i="10" s="1"/>
  <c r="S15" i="10"/>
  <c r="T15" i="10" s="1"/>
  <c r="S16" i="10"/>
  <c r="T16" i="10" s="1"/>
  <c r="S17" i="10"/>
  <c r="T17" i="10" s="1"/>
  <c r="S18" i="10"/>
  <c r="T18" i="10" s="1"/>
  <c r="S19" i="10"/>
  <c r="T19" i="10" s="1"/>
  <c r="S20" i="10"/>
  <c r="T20" i="10" s="1"/>
  <c r="S21" i="10"/>
  <c r="T21" i="10" s="1"/>
  <c r="S22" i="10"/>
  <c r="T22" i="10" s="1"/>
  <c r="S23" i="10"/>
  <c r="T23" i="10" s="1"/>
  <c r="S24" i="10"/>
  <c r="T24" i="10" s="1"/>
  <c r="S25" i="10"/>
  <c r="T25" i="10" s="1"/>
  <c r="S26" i="10"/>
  <c r="T26" i="10" s="1"/>
  <c r="S27" i="10"/>
  <c r="T27" i="10" s="1"/>
  <c r="S28" i="10"/>
  <c r="T28" i="10" s="1"/>
  <c r="S29" i="10"/>
  <c r="T29" i="10" s="1"/>
  <c r="S30" i="10"/>
  <c r="T30" i="10" s="1"/>
  <c r="S31" i="10"/>
  <c r="T31" i="10" s="1"/>
  <c r="S32" i="10"/>
  <c r="T32" i="10" s="1"/>
  <c r="S33" i="10"/>
  <c r="T33" i="10" s="1"/>
  <c r="S34" i="10"/>
  <c r="T34" i="10" s="1"/>
  <c r="S35" i="10"/>
  <c r="T35" i="10" s="1"/>
  <c r="S36" i="10"/>
  <c r="T36" i="10" s="1"/>
  <c r="S37" i="10"/>
  <c r="T37" i="10" s="1"/>
  <c r="S38" i="10"/>
  <c r="T38" i="10" s="1"/>
  <c r="S39" i="10"/>
  <c r="T39" i="10" s="1"/>
  <c r="S40" i="10"/>
  <c r="T40" i="10" s="1"/>
  <c r="S41" i="10"/>
  <c r="T41" i="10" s="1"/>
  <c r="S42" i="10"/>
  <c r="T42" i="10" s="1"/>
  <c r="R3" i="10"/>
  <c r="R4" i="10"/>
  <c r="R5" i="10"/>
  <c r="R6" i="10"/>
  <c r="R7" i="10"/>
  <c r="R8" i="10"/>
  <c r="R9" i="10"/>
  <c r="R10" i="10"/>
  <c r="R11" i="10"/>
  <c r="R12" i="10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R27" i="10"/>
  <c r="R28" i="10"/>
  <c r="R29" i="10"/>
  <c r="R30" i="10"/>
  <c r="R31" i="10"/>
  <c r="R32" i="10"/>
  <c r="R33" i="10"/>
  <c r="R34" i="10"/>
  <c r="R35" i="10"/>
  <c r="R36" i="10"/>
  <c r="R37" i="10"/>
  <c r="R38" i="10"/>
  <c r="R39" i="10"/>
  <c r="R40" i="10"/>
  <c r="R41" i="10"/>
  <c r="R42" i="10"/>
  <c r="W3" i="9"/>
  <c r="W4" i="9"/>
  <c r="W5" i="9"/>
  <c r="W6" i="9"/>
  <c r="W7" i="9"/>
  <c r="W8" i="9"/>
  <c r="W9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V3" i="9"/>
  <c r="V4" i="9"/>
  <c r="V5" i="9"/>
  <c r="V6" i="9"/>
  <c r="V7" i="9"/>
  <c r="V8" i="9"/>
  <c r="V9" i="9"/>
  <c r="V10" i="9"/>
  <c r="V11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4" i="9"/>
  <c r="U3" i="9"/>
  <c r="U4" i="9"/>
  <c r="U5" i="9"/>
  <c r="U6" i="9"/>
  <c r="U7" i="9"/>
  <c r="U8" i="9"/>
  <c r="U9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S3" i="9"/>
  <c r="T3" i="9" s="1"/>
  <c r="S4" i="9"/>
  <c r="T4" i="9" s="1"/>
  <c r="S5" i="9"/>
  <c r="T5" i="9" s="1"/>
  <c r="S6" i="9"/>
  <c r="T6" i="9" s="1"/>
  <c r="S7" i="9"/>
  <c r="T7" i="9" s="1"/>
  <c r="S8" i="9"/>
  <c r="T8" i="9" s="1"/>
  <c r="S9" i="9"/>
  <c r="T9" i="9" s="1"/>
  <c r="S10" i="9"/>
  <c r="T10" i="9" s="1"/>
  <c r="S11" i="9"/>
  <c r="T11" i="9" s="1"/>
  <c r="S12" i="9"/>
  <c r="T12" i="9" s="1"/>
  <c r="S13" i="9"/>
  <c r="T13" i="9" s="1"/>
  <c r="S14" i="9"/>
  <c r="T14" i="9" s="1"/>
  <c r="S15" i="9"/>
  <c r="T15" i="9" s="1"/>
  <c r="S16" i="9"/>
  <c r="T16" i="9" s="1"/>
  <c r="S17" i="9"/>
  <c r="T17" i="9" s="1"/>
  <c r="S18" i="9"/>
  <c r="T18" i="9" s="1"/>
  <c r="S19" i="9"/>
  <c r="T19" i="9" s="1"/>
  <c r="S20" i="9"/>
  <c r="T20" i="9" s="1"/>
  <c r="S21" i="9"/>
  <c r="T21" i="9" s="1"/>
  <c r="S22" i="9"/>
  <c r="T22" i="9" s="1"/>
  <c r="S23" i="9"/>
  <c r="T23" i="9" s="1"/>
  <c r="S24" i="9"/>
  <c r="T24" i="9" s="1"/>
  <c r="S25" i="9"/>
  <c r="T25" i="9" s="1"/>
  <c r="S26" i="9"/>
  <c r="T26" i="9" s="1"/>
  <c r="S27" i="9"/>
  <c r="T27" i="9" s="1"/>
  <c r="S28" i="9"/>
  <c r="T28" i="9" s="1"/>
  <c r="S29" i="9"/>
  <c r="T29" i="9" s="1"/>
  <c r="S30" i="9"/>
  <c r="T30" i="9" s="1"/>
  <c r="S31" i="9"/>
  <c r="T31" i="9" s="1"/>
  <c r="S32" i="9"/>
  <c r="T32" i="9" s="1"/>
  <c r="S33" i="9"/>
  <c r="T33" i="9" s="1"/>
  <c r="S34" i="9"/>
  <c r="T34" i="9" s="1"/>
  <c r="R3" i="9"/>
  <c r="R4" i="9"/>
  <c r="R5" i="9"/>
  <c r="R6" i="9"/>
  <c r="R7" i="9"/>
  <c r="R8" i="9"/>
  <c r="R9" i="9"/>
  <c r="R10" i="9"/>
  <c r="R11" i="9"/>
  <c r="R12" i="9"/>
  <c r="R13" i="9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W3" i="8"/>
  <c r="W4" i="8"/>
  <c r="W5" i="8"/>
  <c r="W6" i="8"/>
  <c r="W7" i="8"/>
  <c r="W8" i="8"/>
  <c r="W9" i="8"/>
  <c r="W10" i="8"/>
  <c r="W11" i="8"/>
  <c r="W12" i="8"/>
  <c r="W13" i="8"/>
  <c r="W14" i="8"/>
  <c r="W15" i="8"/>
  <c r="W16" i="8"/>
  <c r="W17" i="8"/>
  <c r="W18" i="8"/>
  <c r="W19" i="8"/>
  <c r="W20" i="8"/>
  <c r="W21" i="8"/>
  <c r="W22" i="8"/>
  <c r="W23" i="8"/>
  <c r="W24" i="8"/>
  <c r="W25" i="8"/>
  <c r="W26" i="8"/>
  <c r="W27" i="8"/>
  <c r="W28" i="8"/>
  <c r="W29" i="8"/>
  <c r="W30" i="8"/>
  <c r="W31" i="8"/>
  <c r="W32" i="8"/>
  <c r="W33" i="8"/>
  <c r="W34" i="8"/>
  <c r="W35" i="8"/>
  <c r="W36" i="8"/>
  <c r="W37" i="8"/>
  <c r="W38" i="8"/>
  <c r="W39" i="8"/>
  <c r="W40" i="8"/>
  <c r="W41" i="8"/>
  <c r="W42" i="8"/>
  <c r="W43" i="8"/>
  <c r="W44" i="8"/>
  <c r="W45" i="8"/>
  <c r="W46" i="8"/>
  <c r="W47" i="8"/>
  <c r="W48" i="8"/>
  <c r="W49" i="8"/>
  <c r="W50" i="8"/>
  <c r="W51" i="8"/>
  <c r="W52" i="8"/>
  <c r="W53" i="8"/>
  <c r="W54" i="8"/>
  <c r="W55" i="8"/>
  <c r="W56" i="8"/>
  <c r="W57" i="8"/>
  <c r="W58" i="8"/>
  <c r="W59" i="8"/>
  <c r="W60" i="8"/>
  <c r="W61" i="8"/>
  <c r="W62" i="8"/>
  <c r="W63" i="8"/>
  <c r="W64" i="8"/>
  <c r="W65" i="8"/>
  <c r="W66" i="8"/>
  <c r="W67" i="8"/>
  <c r="W68" i="8"/>
  <c r="W69" i="8"/>
  <c r="W70" i="8"/>
  <c r="W71" i="8"/>
  <c r="W72" i="8"/>
  <c r="V3" i="8"/>
  <c r="V4" i="8"/>
  <c r="V5" i="8"/>
  <c r="V6" i="8"/>
  <c r="V7" i="8"/>
  <c r="V8" i="8"/>
  <c r="V9" i="8"/>
  <c r="V10" i="8"/>
  <c r="V11" i="8"/>
  <c r="V12" i="8"/>
  <c r="V13" i="8"/>
  <c r="V14" i="8"/>
  <c r="V15" i="8"/>
  <c r="V16" i="8"/>
  <c r="V17" i="8"/>
  <c r="V18" i="8"/>
  <c r="V19" i="8"/>
  <c r="V20" i="8"/>
  <c r="V21" i="8"/>
  <c r="V22" i="8"/>
  <c r="V23" i="8"/>
  <c r="V24" i="8"/>
  <c r="V25" i="8"/>
  <c r="V26" i="8"/>
  <c r="V27" i="8"/>
  <c r="V28" i="8"/>
  <c r="V29" i="8"/>
  <c r="V30" i="8"/>
  <c r="V31" i="8"/>
  <c r="V32" i="8"/>
  <c r="V33" i="8"/>
  <c r="V34" i="8"/>
  <c r="V35" i="8"/>
  <c r="V36" i="8"/>
  <c r="V37" i="8"/>
  <c r="V38" i="8"/>
  <c r="V39" i="8"/>
  <c r="V40" i="8"/>
  <c r="V41" i="8"/>
  <c r="V42" i="8"/>
  <c r="V43" i="8"/>
  <c r="V44" i="8"/>
  <c r="V45" i="8"/>
  <c r="V46" i="8"/>
  <c r="V47" i="8"/>
  <c r="V48" i="8"/>
  <c r="V49" i="8"/>
  <c r="V50" i="8"/>
  <c r="V51" i="8"/>
  <c r="V52" i="8"/>
  <c r="V53" i="8"/>
  <c r="V54" i="8"/>
  <c r="V55" i="8"/>
  <c r="V56" i="8"/>
  <c r="V57" i="8"/>
  <c r="V58" i="8"/>
  <c r="V59" i="8"/>
  <c r="V60" i="8"/>
  <c r="V61" i="8"/>
  <c r="V62" i="8"/>
  <c r="V63" i="8"/>
  <c r="V64" i="8"/>
  <c r="V65" i="8"/>
  <c r="V66" i="8"/>
  <c r="V67" i="8"/>
  <c r="V68" i="8"/>
  <c r="V69" i="8"/>
  <c r="V70" i="8"/>
  <c r="V71" i="8"/>
  <c r="V72" i="8"/>
  <c r="U3" i="8"/>
  <c r="U4" i="8"/>
  <c r="U5" i="8"/>
  <c r="U6" i="8"/>
  <c r="U7" i="8"/>
  <c r="U8" i="8"/>
  <c r="U9" i="8"/>
  <c r="U10" i="8"/>
  <c r="U11" i="8"/>
  <c r="U12" i="8"/>
  <c r="U13" i="8"/>
  <c r="U14" i="8"/>
  <c r="U15" i="8"/>
  <c r="U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33" i="8"/>
  <c r="U34" i="8"/>
  <c r="U35" i="8"/>
  <c r="U36" i="8"/>
  <c r="U37" i="8"/>
  <c r="U38" i="8"/>
  <c r="U39" i="8"/>
  <c r="U40" i="8"/>
  <c r="U41" i="8"/>
  <c r="U42" i="8"/>
  <c r="U43" i="8"/>
  <c r="U44" i="8"/>
  <c r="U45" i="8"/>
  <c r="U46" i="8"/>
  <c r="U47" i="8"/>
  <c r="U48" i="8"/>
  <c r="U49" i="8"/>
  <c r="U50" i="8"/>
  <c r="U51" i="8"/>
  <c r="U52" i="8"/>
  <c r="U53" i="8"/>
  <c r="U54" i="8"/>
  <c r="U55" i="8"/>
  <c r="U56" i="8"/>
  <c r="U57" i="8"/>
  <c r="U58" i="8"/>
  <c r="U59" i="8"/>
  <c r="U60" i="8"/>
  <c r="U61" i="8"/>
  <c r="U62" i="8"/>
  <c r="U63" i="8"/>
  <c r="U64" i="8"/>
  <c r="U65" i="8"/>
  <c r="U66" i="8"/>
  <c r="U67" i="8"/>
  <c r="U68" i="8"/>
  <c r="U69" i="8"/>
  <c r="U70" i="8"/>
  <c r="U71" i="8"/>
  <c r="U72" i="8"/>
  <c r="T6" i="8"/>
  <c r="T10" i="8"/>
  <c r="T14" i="8"/>
  <c r="T18" i="8"/>
  <c r="T22" i="8"/>
  <c r="T26" i="8"/>
  <c r="T30" i="8"/>
  <c r="T34" i="8"/>
  <c r="T38" i="8"/>
  <c r="T42" i="8"/>
  <c r="T46" i="8"/>
  <c r="T50" i="8"/>
  <c r="T54" i="8"/>
  <c r="T58" i="8"/>
  <c r="T62" i="8"/>
  <c r="T66" i="8"/>
  <c r="T70" i="8"/>
  <c r="S3" i="8"/>
  <c r="T3" i="8" s="1"/>
  <c r="S4" i="8"/>
  <c r="T4" i="8" s="1"/>
  <c r="S5" i="8"/>
  <c r="T5" i="8" s="1"/>
  <c r="S6" i="8"/>
  <c r="S7" i="8"/>
  <c r="T7" i="8" s="1"/>
  <c r="S8" i="8"/>
  <c r="T8" i="8" s="1"/>
  <c r="S9" i="8"/>
  <c r="T9" i="8" s="1"/>
  <c r="S10" i="8"/>
  <c r="S11" i="8"/>
  <c r="T11" i="8" s="1"/>
  <c r="S12" i="8"/>
  <c r="T12" i="8" s="1"/>
  <c r="S13" i="8"/>
  <c r="T13" i="8" s="1"/>
  <c r="S14" i="8"/>
  <c r="S15" i="8"/>
  <c r="T15" i="8" s="1"/>
  <c r="S16" i="8"/>
  <c r="T16" i="8" s="1"/>
  <c r="S17" i="8"/>
  <c r="T17" i="8" s="1"/>
  <c r="S18" i="8"/>
  <c r="S19" i="8"/>
  <c r="T19" i="8" s="1"/>
  <c r="S20" i="8"/>
  <c r="T20" i="8" s="1"/>
  <c r="S21" i="8"/>
  <c r="T21" i="8" s="1"/>
  <c r="S22" i="8"/>
  <c r="S23" i="8"/>
  <c r="T23" i="8" s="1"/>
  <c r="S24" i="8"/>
  <c r="T24" i="8" s="1"/>
  <c r="S25" i="8"/>
  <c r="T25" i="8" s="1"/>
  <c r="S26" i="8"/>
  <c r="S27" i="8"/>
  <c r="T27" i="8" s="1"/>
  <c r="S28" i="8"/>
  <c r="T28" i="8" s="1"/>
  <c r="S29" i="8"/>
  <c r="T29" i="8" s="1"/>
  <c r="S30" i="8"/>
  <c r="S31" i="8"/>
  <c r="T31" i="8" s="1"/>
  <c r="S32" i="8"/>
  <c r="T32" i="8" s="1"/>
  <c r="S33" i="8"/>
  <c r="T33" i="8" s="1"/>
  <c r="S34" i="8"/>
  <c r="S35" i="8"/>
  <c r="T35" i="8" s="1"/>
  <c r="S36" i="8"/>
  <c r="T36" i="8" s="1"/>
  <c r="S37" i="8"/>
  <c r="T37" i="8" s="1"/>
  <c r="S38" i="8"/>
  <c r="S39" i="8"/>
  <c r="T39" i="8" s="1"/>
  <c r="S40" i="8"/>
  <c r="T40" i="8" s="1"/>
  <c r="S41" i="8"/>
  <c r="T41" i="8" s="1"/>
  <c r="S42" i="8"/>
  <c r="S43" i="8"/>
  <c r="T43" i="8" s="1"/>
  <c r="S44" i="8"/>
  <c r="T44" i="8" s="1"/>
  <c r="S45" i="8"/>
  <c r="T45" i="8" s="1"/>
  <c r="S46" i="8"/>
  <c r="S47" i="8"/>
  <c r="T47" i="8" s="1"/>
  <c r="S48" i="8"/>
  <c r="T48" i="8" s="1"/>
  <c r="S49" i="8"/>
  <c r="T49" i="8" s="1"/>
  <c r="S50" i="8"/>
  <c r="S51" i="8"/>
  <c r="T51" i="8" s="1"/>
  <c r="S52" i="8"/>
  <c r="T52" i="8" s="1"/>
  <c r="S53" i="8"/>
  <c r="T53" i="8" s="1"/>
  <c r="S54" i="8"/>
  <c r="S55" i="8"/>
  <c r="T55" i="8" s="1"/>
  <c r="S56" i="8"/>
  <c r="T56" i="8" s="1"/>
  <c r="S57" i="8"/>
  <c r="T57" i="8" s="1"/>
  <c r="S58" i="8"/>
  <c r="S59" i="8"/>
  <c r="T59" i="8" s="1"/>
  <c r="S60" i="8"/>
  <c r="T60" i="8" s="1"/>
  <c r="S61" i="8"/>
  <c r="T61" i="8" s="1"/>
  <c r="S62" i="8"/>
  <c r="S63" i="8"/>
  <c r="T63" i="8" s="1"/>
  <c r="S64" i="8"/>
  <c r="T64" i="8" s="1"/>
  <c r="S65" i="8"/>
  <c r="T65" i="8" s="1"/>
  <c r="S66" i="8"/>
  <c r="S67" i="8"/>
  <c r="T67" i="8" s="1"/>
  <c r="S68" i="8"/>
  <c r="T68" i="8" s="1"/>
  <c r="S69" i="8"/>
  <c r="T69" i="8" s="1"/>
  <c r="S70" i="8"/>
  <c r="S71" i="8"/>
  <c r="T71" i="8" s="1"/>
  <c r="S72" i="8"/>
  <c r="T72" i="8" s="1"/>
  <c r="R3" i="8"/>
  <c r="R4" i="8"/>
  <c r="R5" i="8"/>
  <c r="R6" i="8"/>
  <c r="R7" i="8"/>
  <c r="R8" i="8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35" i="8"/>
  <c r="R36" i="8"/>
  <c r="R37" i="8"/>
  <c r="R38" i="8"/>
  <c r="R39" i="8"/>
  <c r="R40" i="8"/>
  <c r="R41" i="8"/>
  <c r="R42" i="8"/>
  <c r="R43" i="8"/>
  <c r="R44" i="8"/>
  <c r="R45" i="8"/>
  <c r="R46" i="8"/>
  <c r="R47" i="8"/>
  <c r="R48" i="8"/>
  <c r="R49" i="8"/>
  <c r="R50" i="8"/>
  <c r="R51" i="8"/>
  <c r="R52" i="8"/>
  <c r="R53" i="8"/>
  <c r="R54" i="8"/>
  <c r="R55" i="8"/>
  <c r="R56" i="8"/>
  <c r="R57" i="8"/>
  <c r="R58" i="8"/>
  <c r="R59" i="8"/>
  <c r="R60" i="8"/>
  <c r="R61" i="8"/>
  <c r="R62" i="8"/>
  <c r="R63" i="8"/>
  <c r="R64" i="8"/>
  <c r="R65" i="8"/>
  <c r="R66" i="8"/>
  <c r="R67" i="8"/>
  <c r="R68" i="8"/>
  <c r="R69" i="8"/>
  <c r="R70" i="8"/>
  <c r="R71" i="8"/>
  <c r="R72" i="8"/>
  <c r="W3" i="7"/>
  <c r="W4" i="7"/>
  <c r="W5" i="7"/>
  <c r="W6" i="7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W25" i="7"/>
  <c r="W26" i="7"/>
  <c r="W27" i="7"/>
  <c r="W28" i="7"/>
  <c r="W29" i="7"/>
  <c r="W30" i="7"/>
  <c r="W31" i="7"/>
  <c r="W32" i="7"/>
  <c r="W33" i="7"/>
  <c r="W34" i="7"/>
  <c r="W35" i="7"/>
  <c r="W36" i="7"/>
  <c r="W37" i="7"/>
  <c r="W38" i="7"/>
  <c r="W39" i="7"/>
  <c r="W40" i="7"/>
  <c r="W41" i="7"/>
  <c r="W42" i="7"/>
  <c r="W43" i="7"/>
  <c r="W44" i="7"/>
  <c r="W45" i="7"/>
  <c r="W46" i="7"/>
  <c r="W47" i="7"/>
  <c r="W48" i="7"/>
  <c r="W49" i="7"/>
  <c r="W50" i="7"/>
  <c r="W51" i="7"/>
  <c r="W52" i="7"/>
  <c r="W53" i="7"/>
  <c r="W54" i="7"/>
  <c r="W55" i="7"/>
  <c r="W56" i="7"/>
  <c r="W57" i="7"/>
  <c r="W58" i="7"/>
  <c r="W59" i="7"/>
  <c r="W60" i="7"/>
  <c r="W61" i="7"/>
  <c r="W62" i="7"/>
  <c r="W63" i="7"/>
  <c r="W64" i="7"/>
  <c r="W65" i="7"/>
  <c r="W66" i="7"/>
  <c r="W67" i="7"/>
  <c r="W68" i="7"/>
  <c r="W69" i="7"/>
  <c r="W70" i="7"/>
  <c r="W71" i="7"/>
  <c r="W72" i="7"/>
  <c r="W73" i="7"/>
  <c r="W74" i="7"/>
  <c r="V3" i="7"/>
  <c r="V4" i="7"/>
  <c r="V5" i="7"/>
  <c r="V6" i="7"/>
  <c r="V7" i="7"/>
  <c r="V8" i="7"/>
  <c r="V9" i="7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V32" i="7"/>
  <c r="V33" i="7"/>
  <c r="V34" i="7"/>
  <c r="V35" i="7"/>
  <c r="V36" i="7"/>
  <c r="V37" i="7"/>
  <c r="V38" i="7"/>
  <c r="V39" i="7"/>
  <c r="V40" i="7"/>
  <c r="V41" i="7"/>
  <c r="V42" i="7"/>
  <c r="V43" i="7"/>
  <c r="V44" i="7"/>
  <c r="V45" i="7"/>
  <c r="V46" i="7"/>
  <c r="V47" i="7"/>
  <c r="V48" i="7"/>
  <c r="V49" i="7"/>
  <c r="V50" i="7"/>
  <c r="V51" i="7"/>
  <c r="V52" i="7"/>
  <c r="V53" i="7"/>
  <c r="V54" i="7"/>
  <c r="V55" i="7"/>
  <c r="V56" i="7"/>
  <c r="V57" i="7"/>
  <c r="V58" i="7"/>
  <c r="V59" i="7"/>
  <c r="V60" i="7"/>
  <c r="V61" i="7"/>
  <c r="V62" i="7"/>
  <c r="V63" i="7"/>
  <c r="V64" i="7"/>
  <c r="V65" i="7"/>
  <c r="V66" i="7"/>
  <c r="V67" i="7"/>
  <c r="V68" i="7"/>
  <c r="V69" i="7"/>
  <c r="V70" i="7"/>
  <c r="V71" i="7"/>
  <c r="V72" i="7"/>
  <c r="V73" i="7"/>
  <c r="V74" i="7"/>
  <c r="U3" i="7"/>
  <c r="U4" i="7"/>
  <c r="U5" i="7"/>
  <c r="U6" i="7"/>
  <c r="U7" i="7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U25" i="7"/>
  <c r="U26" i="7"/>
  <c r="U27" i="7"/>
  <c r="U28" i="7"/>
  <c r="U29" i="7"/>
  <c r="U30" i="7"/>
  <c r="U31" i="7"/>
  <c r="U32" i="7"/>
  <c r="U33" i="7"/>
  <c r="U34" i="7"/>
  <c r="U35" i="7"/>
  <c r="U36" i="7"/>
  <c r="U37" i="7"/>
  <c r="U38" i="7"/>
  <c r="U39" i="7"/>
  <c r="U40" i="7"/>
  <c r="U41" i="7"/>
  <c r="U42" i="7"/>
  <c r="U43" i="7"/>
  <c r="U44" i="7"/>
  <c r="U45" i="7"/>
  <c r="U46" i="7"/>
  <c r="U47" i="7"/>
  <c r="U48" i="7"/>
  <c r="U49" i="7"/>
  <c r="U50" i="7"/>
  <c r="U51" i="7"/>
  <c r="U52" i="7"/>
  <c r="U53" i="7"/>
  <c r="U54" i="7"/>
  <c r="U55" i="7"/>
  <c r="U56" i="7"/>
  <c r="U57" i="7"/>
  <c r="U58" i="7"/>
  <c r="U59" i="7"/>
  <c r="U60" i="7"/>
  <c r="U61" i="7"/>
  <c r="U62" i="7"/>
  <c r="U63" i="7"/>
  <c r="U64" i="7"/>
  <c r="U65" i="7"/>
  <c r="U66" i="7"/>
  <c r="U67" i="7"/>
  <c r="U68" i="7"/>
  <c r="U69" i="7"/>
  <c r="U70" i="7"/>
  <c r="U71" i="7"/>
  <c r="U72" i="7"/>
  <c r="U73" i="7"/>
  <c r="U74" i="7"/>
  <c r="T3" i="7"/>
  <c r="T4" i="7"/>
  <c r="T5" i="7"/>
  <c r="T6" i="7"/>
  <c r="T7" i="7"/>
  <c r="T8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T33" i="7"/>
  <c r="T34" i="7"/>
  <c r="T35" i="7"/>
  <c r="T36" i="7"/>
  <c r="T37" i="7"/>
  <c r="T38" i="7"/>
  <c r="T39" i="7"/>
  <c r="T40" i="7"/>
  <c r="T41" i="7"/>
  <c r="T42" i="7"/>
  <c r="T43" i="7"/>
  <c r="T44" i="7"/>
  <c r="T45" i="7"/>
  <c r="T46" i="7"/>
  <c r="T47" i="7"/>
  <c r="T48" i="7"/>
  <c r="T49" i="7"/>
  <c r="T50" i="7"/>
  <c r="T51" i="7"/>
  <c r="T52" i="7"/>
  <c r="T53" i="7"/>
  <c r="T54" i="7"/>
  <c r="T55" i="7"/>
  <c r="T56" i="7"/>
  <c r="T57" i="7"/>
  <c r="T58" i="7"/>
  <c r="T59" i="7"/>
  <c r="T60" i="7"/>
  <c r="T61" i="7"/>
  <c r="T62" i="7"/>
  <c r="T63" i="7"/>
  <c r="T64" i="7"/>
  <c r="T65" i="7"/>
  <c r="T66" i="7"/>
  <c r="T67" i="7"/>
  <c r="T68" i="7"/>
  <c r="T69" i="7"/>
  <c r="T70" i="7"/>
  <c r="T71" i="7"/>
  <c r="T72" i="7"/>
  <c r="T73" i="7"/>
  <c r="T74" i="7"/>
  <c r="S3" i="7"/>
  <c r="S4" i="7"/>
  <c r="S5" i="7"/>
  <c r="S6" i="7"/>
  <c r="S7" i="7"/>
  <c r="S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46" i="7"/>
  <c r="S47" i="7"/>
  <c r="S48" i="7"/>
  <c r="S49" i="7"/>
  <c r="S50" i="7"/>
  <c r="S51" i="7"/>
  <c r="S52" i="7"/>
  <c r="S53" i="7"/>
  <c r="S54" i="7"/>
  <c r="S55" i="7"/>
  <c r="S56" i="7"/>
  <c r="S57" i="7"/>
  <c r="S58" i="7"/>
  <c r="S59" i="7"/>
  <c r="S60" i="7"/>
  <c r="S61" i="7"/>
  <c r="S62" i="7"/>
  <c r="S63" i="7"/>
  <c r="S64" i="7"/>
  <c r="S65" i="7"/>
  <c r="S66" i="7"/>
  <c r="S67" i="7"/>
  <c r="S68" i="7"/>
  <c r="S69" i="7"/>
  <c r="S70" i="7"/>
  <c r="S71" i="7"/>
  <c r="S72" i="7"/>
  <c r="S73" i="7"/>
  <c r="S74" i="7"/>
  <c r="R3" i="7"/>
  <c r="R4" i="7"/>
  <c r="R5" i="7"/>
  <c r="R6" i="7"/>
  <c r="R7" i="7"/>
  <c r="R8" i="7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30" i="7"/>
  <c r="R31" i="7"/>
  <c r="R32" i="7"/>
  <c r="R33" i="7"/>
  <c r="R34" i="7"/>
  <c r="R35" i="7"/>
  <c r="R36" i="7"/>
  <c r="R37" i="7"/>
  <c r="R38" i="7"/>
  <c r="R39" i="7"/>
  <c r="R40" i="7"/>
  <c r="R41" i="7"/>
  <c r="R42" i="7"/>
  <c r="R43" i="7"/>
  <c r="R44" i="7"/>
  <c r="R45" i="7"/>
  <c r="R46" i="7"/>
  <c r="R47" i="7"/>
  <c r="R48" i="7"/>
  <c r="R49" i="7"/>
  <c r="R50" i="7"/>
  <c r="R51" i="7"/>
  <c r="R52" i="7"/>
  <c r="R53" i="7"/>
  <c r="R54" i="7"/>
  <c r="R55" i="7"/>
  <c r="R56" i="7"/>
  <c r="R57" i="7"/>
  <c r="R58" i="7"/>
  <c r="R59" i="7"/>
  <c r="R60" i="7"/>
  <c r="R61" i="7"/>
  <c r="R62" i="7"/>
  <c r="R63" i="7"/>
  <c r="R64" i="7"/>
  <c r="R65" i="7"/>
  <c r="R66" i="7"/>
  <c r="R67" i="7"/>
  <c r="R68" i="7"/>
  <c r="R69" i="7"/>
  <c r="R70" i="7"/>
  <c r="R71" i="7"/>
  <c r="R72" i="7"/>
  <c r="R73" i="7"/>
  <c r="R74" i="7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3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W3" i="6"/>
  <c r="W4" i="6"/>
  <c r="W5" i="6"/>
  <c r="W6" i="6"/>
  <c r="W7" i="6"/>
  <c r="W8" i="6"/>
  <c r="W9" i="6"/>
  <c r="W10" i="6"/>
  <c r="W11" i="6"/>
  <c r="W12" i="6"/>
  <c r="W13" i="6"/>
  <c r="W14" i="6"/>
  <c r="W15" i="6"/>
  <c r="W16" i="6"/>
  <c r="W17" i="6"/>
  <c r="W18" i="6"/>
  <c r="W19" i="6"/>
  <c r="W20" i="6"/>
  <c r="W21" i="6"/>
  <c r="W22" i="6"/>
  <c r="W23" i="6"/>
  <c r="W24" i="6"/>
  <c r="W25" i="6"/>
  <c r="W26" i="6"/>
  <c r="W27" i="6"/>
  <c r="W28" i="6"/>
  <c r="W29" i="6"/>
  <c r="W30" i="6"/>
  <c r="W31" i="6"/>
  <c r="W32" i="6"/>
  <c r="W33" i="6"/>
  <c r="W34" i="6"/>
  <c r="W35" i="6"/>
  <c r="W36" i="6"/>
  <c r="W37" i="6"/>
  <c r="W38" i="6"/>
  <c r="W39" i="6"/>
  <c r="W40" i="6"/>
  <c r="W41" i="6"/>
  <c r="W42" i="6"/>
  <c r="W43" i="6"/>
  <c r="W44" i="6"/>
  <c r="W45" i="6"/>
  <c r="W46" i="6"/>
  <c r="W47" i="6"/>
  <c r="W48" i="6"/>
  <c r="W49" i="6"/>
  <c r="W50" i="6"/>
  <c r="T3" i="6"/>
  <c r="T4" i="6"/>
  <c r="T5" i="6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T41" i="6"/>
  <c r="T42" i="6"/>
  <c r="T43" i="6"/>
  <c r="T44" i="6"/>
  <c r="T45" i="6"/>
  <c r="T46" i="6"/>
  <c r="T47" i="6"/>
  <c r="T48" i="6"/>
  <c r="T49" i="6"/>
  <c r="T50" i="6"/>
  <c r="V3" i="6"/>
  <c r="V4" i="6"/>
  <c r="V5" i="6"/>
  <c r="V6" i="6"/>
  <c r="V7" i="6"/>
  <c r="V8" i="6"/>
  <c r="V9" i="6"/>
  <c r="V10" i="6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S3" i="6"/>
  <c r="S4" i="6"/>
  <c r="S5" i="6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U3" i="6"/>
  <c r="U4" i="6"/>
  <c r="U5" i="6"/>
  <c r="U6" i="6"/>
  <c r="U7" i="6"/>
  <c r="U8" i="6"/>
  <c r="U9" i="6"/>
  <c r="U10" i="6"/>
  <c r="U11" i="6"/>
  <c r="U12" i="6"/>
  <c r="U13" i="6"/>
  <c r="U14" i="6"/>
  <c r="U15" i="6"/>
  <c r="U16" i="6"/>
  <c r="U17" i="6"/>
  <c r="U18" i="6"/>
  <c r="U19" i="6"/>
  <c r="U20" i="6"/>
  <c r="U21" i="6"/>
  <c r="U22" i="6"/>
  <c r="U23" i="6"/>
  <c r="U24" i="6"/>
  <c r="U25" i="6"/>
  <c r="U26" i="6"/>
  <c r="U27" i="6"/>
  <c r="U28" i="6"/>
  <c r="U29" i="6"/>
  <c r="U30" i="6"/>
  <c r="U31" i="6"/>
  <c r="U32" i="6"/>
  <c r="U33" i="6"/>
  <c r="U34" i="6"/>
  <c r="U35" i="6"/>
  <c r="U36" i="6"/>
  <c r="U37" i="6"/>
  <c r="U38" i="6"/>
  <c r="U39" i="6"/>
  <c r="U40" i="6"/>
  <c r="U41" i="6"/>
  <c r="U42" i="6"/>
  <c r="U43" i="6"/>
  <c r="U44" i="6"/>
  <c r="U45" i="6"/>
  <c r="U46" i="6"/>
  <c r="U47" i="6"/>
  <c r="U48" i="6"/>
  <c r="U49" i="6"/>
  <c r="U50" i="6"/>
  <c r="R3" i="6"/>
  <c r="R4" i="6"/>
  <c r="R5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E1" i="15" l="1"/>
  <c r="E1" i="18"/>
  <c r="E1" i="14"/>
  <c r="E1" i="11"/>
  <c r="E1" i="12"/>
  <c r="E1" i="13"/>
  <c r="E1" i="10"/>
  <c r="E1" i="9"/>
  <c r="E1" i="8"/>
  <c r="E1" i="7"/>
  <c r="E1" i="1"/>
  <c r="E1" i="6"/>
</calcChain>
</file>

<file path=xl/sharedStrings.xml><?xml version="1.0" encoding="utf-8"?>
<sst xmlns="http://schemas.openxmlformats.org/spreadsheetml/2006/main" count="2330" uniqueCount="184">
  <si>
    <t>Product Description</t>
  </si>
  <si>
    <t>Vendor Pack</t>
  </si>
  <si>
    <t>USDA Material Code</t>
  </si>
  <si>
    <t>Product Spec #</t>
  </si>
  <si>
    <t>Manufacturer Product Code</t>
  </si>
  <si>
    <t># of CN Servings per case</t>
  </si>
  <si>
    <t>Estimated Servings Annual</t>
  </si>
  <si>
    <t>3c1</t>
  </si>
  <si>
    <t>3c2</t>
  </si>
  <si>
    <t>3c3</t>
  </si>
  <si>
    <t>3c4</t>
  </si>
  <si>
    <t>Bongard's Creameries</t>
  </si>
  <si>
    <t>Land o Lakes</t>
  </si>
  <si>
    <t>Other:</t>
  </si>
  <si>
    <t>Category</t>
  </si>
  <si>
    <t>Cheese Bulk</t>
  </si>
  <si>
    <t>Row Labels</t>
  </si>
  <si>
    <t>Grand Total</t>
  </si>
  <si>
    <t>Sum of Total Cost Per Year (M*G)</t>
  </si>
  <si>
    <t>Special Order Item? (Y/N)</t>
  </si>
  <si>
    <t>Distributor Product Code</t>
  </si>
  <si>
    <t>Pounds of DF Needed per Case (#)</t>
  </si>
  <si>
    <t>Commercial Bid Price per case for NOI ($)</t>
  </si>
  <si>
    <t>Manufacturer (max 2 per manufactuerer)</t>
  </si>
  <si>
    <t>Peterson Farms</t>
  </si>
  <si>
    <t>Sunset Orchard</t>
  </si>
  <si>
    <t>National Food Group</t>
  </si>
  <si>
    <t>Beef</t>
  </si>
  <si>
    <t>JTM</t>
  </si>
  <si>
    <t>Cheese</t>
  </si>
  <si>
    <t>Cheese, Cheddar Shredded</t>
  </si>
  <si>
    <t>Cheese, Mozzarella Shredded</t>
  </si>
  <si>
    <t>Cheese, American Sliced Yellow</t>
  </si>
  <si>
    <t>Cheese, American Sliced White</t>
  </si>
  <si>
    <t>Cheese, Colby Jack Sticks</t>
  </si>
  <si>
    <t>Cheese, Mozzarella String</t>
  </si>
  <si>
    <t>Cheese Sauce, Cheddar</t>
  </si>
  <si>
    <t>Macaroni and Cheese</t>
  </si>
  <si>
    <t>Chicken</t>
  </si>
  <si>
    <t>Chicken, Fajita Strips</t>
  </si>
  <si>
    <t>Chicken, Grilled Filet</t>
  </si>
  <si>
    <t>Chicken, Diced</t>
  </si>
  <si>
    <t>Chicken, Drumstick Breaded</t>
  </si>
  <si>
    <t>Chicken, Nuggets Breaded</t>
  </si>
  <si>
    <t>Chicken, Popcorn Breaded</t>
  </si>
  <si>
    <t>Chicken, Patty Breaded</t>
  </si>
  <si>
    <t>Chicken, Patty Spicy Breaded</t>
  </si>
  <si>
    <t>Chicken, Strips/Tenders Breaded</t>
  </si>
  <si>
    <t>Orange/Tangerine Chicken, Breaded</t>
  </si>
  <si>
    <t>Sweet &amp; Spicy Chicken, Breaded</t>
  </si>
  <si>
    <t>Teriyaki Chicken, Unbreaded</t>
  </si>
  <si>
    <t>Chef's Corner</t>
  </si>
  <si>
    <t>Yang's 5th Taste</t>
  </si>
  <si>
    <t>Eggs</t>
  </si>
  <si>
    <t>Egg Patty</t>
  </si>
  <si>
    <t>Egg Omelet, Cheese</t>
  </si>
  <si>
    <t>Eggs, Hard Cooked</t>
  </si>
  <si>
    <t>French Toast Sticks</t>
  </si>
  <si>
    <t>Cargill Kitchen</t>
  </si>
  <si>
    <t>Micheal Foods</t>
  </si>
  <si>
    <t>Fruit</t>
  </si>
  <si>
    <t>Applesauce, Unsweetend Cinnamon Flavor, Cups</t>
  </si>
  <si>
    <t>Applesauce, Unsweetend Strawberry Flavor, Cups</t>
  </si>
  <si>
    <t>Applesauce, Unsweetend Peach Flavor, Cups</t>
  </si>
  <si>
    <t>Pears, Diced, Cups</t>
  </si>
  <si>
    <t>Apples, Sliced, Individual Package</t>
  </si>
  <si>
    <t>Del Monte</t>
  </si>
  <si>
    <t>Garbanzo Beans</t>
  </si>
  <si>
    <t>Hummus, Plain, Cups</t>
  </si>
  <si>
    <t>Hummus, Red Pepper, Cups</t>
  </si>
  <si>
    <t>Hummus, Other Flavor, Cups</t>
  </si>
  <si>
    <t>Manufacturer (max 2 items per manufactuerer)</t>
  </si>
  <si>
    <t>Mozzarella</t>
  </si>
  <si>
    <t>Peanut Butter</t>
  </si>
  <si>
    <t>PB and Grape Jelly Sandwich</t>
  </si>
  <si>
    <t>PB and Strawberry Jelly Sandwich</t>
  </si>
  <si>
    <t>Peanut Butter, Creamy, Cup</t>
  </si>
  <si>
    <t>Smucker's</t>
  </si>
  <si>
    <t>Tyson Foods - AP</t>
  </si>
  <si>
    <t>Pork</t>
  </si>
  <si>
    <t>Pork, Breaded Patty</t>
  </si>
  <si>
    <t>Pork, Rib Patty</t>
  </si>
  <si>
    <t>Pork, Sausage Patty</t>
  </si>
  <si>
    <t>Pork, Shredded</t>
  </si>
  <si>
    <t>Rich's</t>
  </si>
  <si>
    <t>Sunflower Seed Butter</t>
  </si>
  <si>
    <t>Sunflower Seed Butter and Grape Jelly Sandwich</t>
  </si>
  <si>
    <t>Sunflower Seed Butter and Strawberry Jelly Sandwich</t>
  </si>
  <si>
    <t>Muffintown/Sunwise</t>
  </si>
  <si>
    <t>Turkey, Deli Breast Sliced</t>
  </si>
  <si>
    <t>Turkey, Deli Ham Sliced</t>
  </si>
  <si>
    <t>Turkey, Deli Combo Italian</t>
  </si>
  <si>
    <t>Turkey, Crumbles Taco Seasoned</t>
  </si>
  <si>
    <t>Turkey and Gravy</t>
  </si>
  <si>
    <t>Jennie O</t>
  </si>
  <si>
    <t>Instructions:</t>
  </si>
  <si>
    <t>(Vendor Name)</t>
  </si>
  <si>
    <t>Instructions for Vendors</t>
  </si>
  <si>
    <r>
      <t xml:space="preserve">2. Products are grouped into material categories on separate </t>
    </r>
    <r>
      <rPr>
        <b/>
        <sz val="11"/>
        <color theme="1"/>
        <rFont val="Calibri"/>
        <family val="2"/>
        <scheme val="minor"/>
      </rPr>
      <t xml:space="preserve">TABS. </t>
    </r>
    <r>
      <rPr>
        <sz val="11"/>
        <color theme="1"/>
        <rFont val="Calibri"/>
        <family val="2"/>
        <scheme val="minor"/>
      </rPr>
      <t xml:space="preserve">Product Specifications are outline in </t>
    </r>
    <r>
      <rPr>
        <b/>
        <sz val="11"/>
        <color theme="1"/>
        <rFont val="Calibri"/>
        <family val="2"/>
        <scheme val="minor"/>
      </rPr>
      <t xml:space="preserve">Attachement #. </t>
    </r>
    <r>
      <rPr>
        <sz val="11"/>
        <color theme="1"/>
        <rFont val="Calibri"/>
        <family val="2"/>
        <scheme val="minor"/>
      </rPr>
      <t>Only submit pricing for products that meet specifications.</t>
    </r>
  </si>
  <si>
    <t>The remainder of the columns will auto calculate pricing based off # of servings per case.</t>
  </si>
  <si>
    <t xml:space="preserve">Beef Shredded </t>
  </si>
  <si>
    <t>Beef Patty</t>
  </si>
  <si>
    <t>Beef Crumbles</t>
  </si>
  <si>
    <t>Beef Strips</t>
  </si>
  <si>
    <t>Beef Meatballs</t>
  </si>
  <si>
    <t>Salisbury Steak</t>
  </si>
  <si>
    <t>Cheese Sauce, White, Flavored</t>
  </si>
  <si>
    <t>Other Poultry</t>
  </si>
  <si>
    <t>Turkey/Chicken Mini Corndogs</t>
  </si>
  <si>
    <t>Tyson Foods</t>
  </si>
  <si>
    <t>Cheese Pizza, Wedge/Slice</t>
  </si>
  <si>
    <t>ConAgra</t>
  </si>
  <si>
    <t>Schwan's</t>
  </si>
  <si>
    <t>Nardone Bros.</t>
  </si>
  <si>
    <t>Cheese Pizza, 4x6</t>
  </si>
  <si>
    <t>Cheese Pizza, Individual</t>
  </si>
  <si>
    <t>Pepperoni Pizza, Wedge/Slice</t>
  </si>
  <si>
    <t>Pepperoni Pizza, 4x6</t>
  </si>
  <si>
    <t>Pepperoni Pizza, Individual</t>
  </si>
  <si>
    <t>Cheese Pizza, Stuffed Crust</t>
  </si>
  <si>
    <t>Pepperoni Pizza, Stuffed Crust</t>
  </si>
  <si>
    <t>Sausage Pizza, 4x6</t>
  </si>
  <si>
    <t>French Bread Pizza, Garlic Cheese</t>
  </si>
  <si>
    <t>French Bread Pizza, Pepperoni</t>
  </si>
  <si>
    <t>Breakfast Pizza with Meat</t>
  </si>
  <si>
    <t>Breakfast Pizza with Egg</t>
  </si>
  <si>
    <t>Soft Breadstick with Cheese Filling</t>
  </si>
  <si>
    <t>Soft Breadstick pieces with Cheese Filling</t>
  </si>
  <si>
    <t>Breaded Mozzarella Cheese Sticks</t>
  </si>
  <si>
    <t>Breaded Mozzarella Cheese Sticks, Italian</t>
  </si>
  <si>
    <t>Wild Mikes</t>
  </si>
  <si>
    <t>Potatoes</t>
  </si>
  <si>
    <t>Mashed Potatoes</t>
  </si>
  <si>
    <t>Sweet Potato Fries, Crinkle Cut</t>
  </si>
  <si>
    <t>Mc Cain</t>
  </si>
  <si>
    <t>Lamb Weston</t>
  </si>
  <si>
    <t>JR Simplot</t>
  </si>
  <si>
    <t>Sweet Potato Fries, Waffle Cut</t>
  </si>
  <si>
    <t>Sweet Potato Fries, Shoestring/Thin Cut</t>
  </si>
  <si>
    <t>Fries, Crinkle Cut</t>
  </si>
  <si>
    <t>Fries, Wedges</t>
  </si>
  <si>
    <t>Fries, Tater Tots</t>
  </si>
  <si>
    <t>Hashbrown, Patty</t>
  </si>
  <si>
    <t>Idahoan</t>
  </si>
  <si>
    <t>Basic American</t>
  </si>
  <si>
    <t>Bongard's</t>
  </si>
  <si>
    <t>Land O Lakes</t>
  </si>
  <si>
    <t>Pilgrim's Pride</t>
  </si>
  <si>
    <t>To Fill out each tab:</t>
  </si>
  <si>
    <t>Vendor:</t>
  </si>
  <si>
    <t xml:space="preserve"> </t>
  </si>
  <si>
    <t xml:space="preserve">JTM </t>
  </si>
  <si>
    <t>Asian Food Solutions</t>
  </si>
  <si>
    <t>Pass-Thru Value per case ($)</t>
  </si>
  <si>
    <t>Is product available through the NOI VPT Method? (Y/N)</t>
  </si>
  <si>
    <r>
      <t xml:space="preserve">Enter the </t>
    </r>
    <r>
      <rPr>
        <b/>
        <sz val="11"/>
        <color theme="1"/>
        <rFont val="Calibri"/>
        <family val="2"/>
        <scheme val="minor"/>
      </rPr>
      <t>Commercial Bid Price</t>
    </r>
    <r>
      <rPr>
        <sz val="11"/>
        <color theme="1"/>
        <rFont val="Calibri"/>
        <family val="2"/>
        <scheme val="minor"/>
      </rPr>
      <t xml:space="preserve"> for the product from Manufacturer in Column </t>
    </r>
    <r>
      <rPr>
        <b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.</t>
    </r>
  </si>
  <si>
    <r>
      <t xml:space="preserve">Enter the </t>
    </r>
    <r>
      <rPr>
        <b/>
        <sz val="11"/>
        <color theme="1"/>
        <rFont val="Calibri"/>
        <family val="2"/>
        <scheme val="minor"/>
      </rPr>
      <t>Pass-Thru Value</t>
    </r>
    <r>
      <rPr>
        <sz val="11"/>
        <color theme="1"/>
        <rFont val="Calibri"/>
        <family val="2"/>
        <scheme val="minor"/>
      </rPr>
      <t xml:space="preserve"> for product, from manufacturer's approved SEPDS for SY 20-21 in Column </t>
    </r>
    <r>
      <rPr>
        <b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>.</t>
    </r>
  </si>
  <si>
    <r>
      <t xml:space="preserve">Enter the </t>
    </r>
    <r>
      <rPr>
        <b/>
        <sz val="11"/>
        <color theme="1"/>
        <rFont val="Calibri"/>
        <family val="2"/>
        <scheme val="minor"/>
      </rPr>
      <t># of lbs</t>
    </r>
    <r>
      <rPr>
        <sz val="11"/>
        <color theme="1"/>
        <rFont val="Calibri"/>
        <family val="2"/>
        <scheme val="minor"/>
      </rPr>
      <t xml:space="preserve"> needed for Diversion for product, from manufacturer's approved SEPDS for SY 20-21 in Column </t>
    </r>
    <r>
      <rPr>
        <b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>.</t>
    </r>
  </si>
  <si>
    <r>
      <t xml:space="preserve">Enter the </t>
    </r>
    <r>
      <rPr>
        <b/>
        <sz val="11"/>
        <color theme="1"/>
        <rFont val="Calibri"/>
        <family val="2"/>
        <scheme val="minor"/>
      </rPr>
      <t>USDA Material Code</t>
    </r>
    <r>
      <rPr>
        <sz val="11"/>
        <color theme="1"/>
        <rFont val="Calibri"/>
        <family val="2"/>
        <scheme val="minor"/>
      </rPr>
      <t xml:space="preserve"> needing for Diversion for product, from manufacturer's approved SEPDS for SY 20-21 in Column </t>
    </r>
    <r>
      <rPr>
        <b/>
        <sz val="11"/>
        <color theme="1"/>
        <rFont val="Calibri"/>
        <family val="2"/>
        <scheme val="minor"/>
      </rPr>
      <t>K</t>
    </r>
  </si>
  <si>
    <r>
      <t xml:space="preserve">Enter if the Product is available through the NOI VPT Method, in Column </t>
    </r>
    <r>
      <rPr>
        <b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. If no product is available, mark No and leave the rest blank.</t>
    </r>
  </si>
  <si>
    <t>3. Respondant may only enter information in the peach colored cells.</t>
  </si>
  <si>
    <r>
      <t xml:space="preserve">1. Enter Respondant's Name in the </t>
    </r>
    <r>
      <rPr>
        <b/>
        <sz val="11"/>
        <color theme="1"/>
        <rFont val="Calibri"/>
        <family val="2"/>
        <scheme val="minor"/>
      </rPr>
      <t>Peach block</t>
    </r>
    <r>
      <rPr>
        <sz val="11"/>
        <color theme="1"/>
        <rFont val="Calibri"/>
        <family val="2"/>
        <scheme val="minor"/>
      </rPr>
      <t xml:space="preserve"> on Line 2 </t>
    </r>
    <r>
      <rPr>
        <b/>
        <sz val="11"/>
        <color theme="1"/>
        <rFont val="Calibri"/>
        <family val="2"/>
        <scheme val="minor"/>
      </rPr>
      <t>ABOVE</t>
    </r>
    <r>
      <rPr>
        <sz val="11"/>
        <color theme="1"/>
        <rFont val="Calibri"/>
        <family val="2"/>
        <scheme val="minor"/>
      </rPr>
      <t>. Name will auto-fill to all pages.</t>
    </r>
  </si>
  <si>
    <t>NOI Net Cost Per Case (N-M)+O</t>
  </si>
  <si>
    <t>Total Cost Per Serving (N+O)/I</t>
  </si>
  <si>
    <t>Cheese Filled Breadstick</t>
  </si>
  <si>
    <t>Region 1: Fixed Fee Per Case ($)</t>
  </si>
  <si>
    <t>Region 2: Fixed Fee Per Case ($)</t>
  </si>
  <si>
    <t>Region 1</t>
  </si>
  <si>
    <t>Region 2</t>
  </si>
  <si>
    <t>NOI Net Cost Per Case (N-M)+P</t>
  </si>
  <si>
    <t>Total Cost Per Serving (N+P)/I</t>
  </si>
  <si>
    <t>Total Cost Per Year (S*J)</t>
  </si>
  <si>
    <t>Total Cost Per Year (V*J)</t>
  </si>
  <si>
    <r>
      <t xml:space="preserve">Enter the </t>
    </r>
    <r>
      <rPr>
        <b/>
        <sz val="11"/>
        <color theme="1"/>
        <rFont val="Calibri"/>
        <family val="2"/>
        <scheme val="minor"/>
      </rPr>
      <t>Fixed Fee</t>
    </r>
    <r>
      <rPr>
        <sz val="11"/>
        <color theme="1"/>
        <rFont val="Calibri"/>
        <family val="2"/>
        <scheme val="minor"/>
      </rPr>
      <t xml:space="preserve"> per case to deliver the product from Vendor warehouse to RA locations in Region 1 in Column </t>
    </r>
    <r>
      <rPr>
        <b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.</t>
    </r>
  </si>
  <si>
    <r>
      <t xml:space="preserve">If the product is a </t>
    </r>
    <r>
      <rPr>
        <b/>
        <sz val="11"/>
        <color theme="1"/>
        <rFont val="Calibri"/>
        <family val="2"/>
        <scheme val="minor"/>
      </rPr>
      <t>Special Order</t>
    </r>
    <r>
      <rPr>
        <sz val="11"/>
        <color theme="1"/>
        <rFont val="Calibri"/>
        <family val="2"/>
        <scheme val="minor"/>
      </rPr>
      <t xml:space="preserve"> item, please indicate Y in Column </t>
    </r>
    <r>
      <rPr>
        <b/>
        <sz val="11"/>
        <color theme="1"/>
        <rFont val="Calibri"/>
        <family val="2"/>
        <scheme val="minor"/>
      </rPr>
      <t>Q</t>
    </r>
    <r>
      <rPr>
        <sz val="11"/>
        <color theme="1"/>
        <rFont val="Calibri"/>
        <family val="2"/>
        <scheme val="minor"/>
      </rPr>
      <t>.</t>
    </r>
  </si>
  <si>
    <r>
      <t xml:space="preserve">Enter the </t>
    </r>
    <r>
      <rPr>
        <b/>
        <sz val="11"/>
        <color theme="1"/>
        <rFont val="Calibri"/>
        <family val="2"/>
        <scheme val="minor"/>
      </rPr>
      <t>Fixed Fee</t>
    </r>
    <r>
      <rPr>
        <sz val="11"/>
        <color theme="1"/>
        <rFont val="Calibri"/>
        <family val="2"/>
        <scheme val="minor"/>
      </rPr>
      <t xml:space="preserve"> per case to deliver the product from Vendor warehouse to RA locations in Region 2 in Column </t>
    </r>
    <r>
      <rPr>
        <b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.</t>
    </r>
  </si>
  <si>
    <r>
      <t xml:space="preserve">Enter </t>
    </r>
    <r>
      <rPr>
        <b/>
        <sz val="11"/>
        <color theme="1"/>
        <rFont val="Calibri"/>
        <family val="2"/>
        <scheme val="minor"/>
      </rPr>
      <t>Pack Size</t>
    </r>
    <r>
      <rPr>
        <sz val="11"/>
        <color theme="1"/>
        <rFont val="Calibri"/>
        <family val="2"/>
        <scheme val="minor"/>
      </rPr>
      <t xml:space="preserve"> of Product in Column </t>
    </r>
    <r>
      <rPr>
        <b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.</t>
    </r>
  </si>
  <si>
    <r>
      <t xml:space="preserve">If you utlize internal product codes, please enter your equivalent </t>
    </r>
    <r>
      <rPr>
        <b/>
        <sz val="11"/>
        <color theme="1"/>
        <rFont val="Calibri"/>
        <family val="2"/>
        <scheme val="minor"/>
      </rPr>
      <t>Product Code</t>
    </r>
    <r>
      <rPr>
        <sz val="11"/>
        <color theme="1"/>
        <rFont val="Calibri"/>
        <family val="2"/>
        <scheme val="minor"/>
      </rPr>
      <t xml:space="preserve"> for product in Column </t>
    </r>
    <r>
      <rPr>
        <b/>
        <sz val="11"/>
        <color theme="1"/>
        <rFont val="Calibri"/>
        <family val="2"/>
        <scheme val="minor"/>
      </rPr>
      <t>G.</t>
    </r>
  </si>
  <si>
    <r>
      <t xml:space="preserve">Enter Manufacturer's </t>
    </r>
    <r>
      <rPr>
        <b/>
        <sz val="11"/>
        <color theme="1"/>
        <rFont val="Calibri"/>
        <family val="2"/>
        <scheme val="minor"/>
      </rPr>
      <t>Product Code</t>
    </r>
    <r>
      <rPr>
        <sz val="11"/>
        <color theme="1"/>
        <rFont val="Calibri"/>
        <family val="2"/>
        <scheme val="minor"/>
      </rPr>
      <t xml:space="preserve"> in Column </t>
    </r>
    <r>
      <rPr>
        <b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.</t>
    </r>
  </si>
  <si>
    <r>
      <t xml:space="preserve">Enter Manufacturer's </t>
    </r>
    <r>
      <rPr>
        <b/>
        <sz val="11"/>
        <color theme="1"/>
        <rFont val="Calibri"/>
        <family val="2"/>
        <scheme val="minor"/>
      </rPr>
      <t>Product Description</t>
    </r>
    <r>
      <rPr>
        <sz val="11"/>
        <color theme="1"/>
        <rFont val="Calibri"/>
        <family val="2"/>
        <scheme val="minor"/>
      </rPr>
      <t xml:space="preserve"> in Column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.</t>
    </r>
  </si>
  <si>
    <t xml:space="preserve">Region 2 </t>
  </si>
  <si>
    <r>
      <t xml:space="preserve">Enter # of servings per CN Crediting specified in </t>
    </r>
    <r>
      <rPr>
        <b/>
        <sz val="11"/>
        <color theme="1"/>
        <rFont val="Calibri"/>
        <family val="2"/>
        <scheme val="minor"/>
      </rPr>
      <t xml:space="preserve">Product Specifications </t>
    </r>
    <r>
      <rPr>
        <sz val="11"/>
        <color theme="1"/>
        <rFont val="Calibri"/>
        <family val="2"/>
        <scheme val="minor"/>
      </rPr>
      <t xml:space="preserve">in Column </t>
    </r>
    <r>
      <rPr>
        <b/>
        <sz val="11"/>
        <color theme="1"/>
        <rFont val="Calibri"/>
        <family val="2"/>
        <scheme val="minor"/>
      </rPr>
      <t>I.</t>
    </r>
  </si>
  <si>
    <t>Estimated # of servings is based off of school requests state wide for SY 19-20 when applicable, in Column J.</t>
  </si>
  <si>
    <r>
      <t>May</t>
    </r>
    <r>
      <rPr>
        <sz val="11"/>
        <color theme="1"/>
        <rFont val="Calibri"/>
        <family val="2"/>
        <scheme val="minor"/>
      </rPr>
      <t xml:space="preserve"> submit up to 2 different product codes, matching the product specification, per preferred manufacturer. Spots supplied for other unknown manufacturer items. </t>
    </r>
    <r>
      <rPr>
        <b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 xml:space="preserve">: all items submitted must be commodity processed items and available through the </t>
    </r>
    <r>
      <rPr>
        <b/>
        <sz val="11"/>
        <color theme="1"/>
        <rFont val="Calibri"/>
        <family val="2"/>
        <scheme val="minor"/>
      </rPr>
      <t>Net Off Invoice(NOI</t>
    </r>
    <r>
      <rPr>
        <sz val="11"/>
        <color theme="1"/>
        <rFont val="Calibri"/>
        <family val="2"/>
        <scheme val="minor"/>
      </rPr>
      <t>)</t>
    </r>
    <r>
      <rPr>
        <b/>
        <sz val="11"/>
        <color theme="1"/>
        <rFont val="Calibri"/>
        <family val="2"/>
        <scheme val="minor"/>
      </rPr>
      <t xml:space="preserve"> Value Pass Through (VPT) Method</t>
    </r>
    <r>
      <rPr>
        <sz val="11"/>
        <color theme="1"/>
        <rFont val="Calibri"/>
        <family val="2"/>
        <scheme val="minor"/>
      </rPr>
      <t>, all other products are ineligible.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</si>
</sst>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4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/>
    <xf numFmtId="0" fontId="0" fillId="2" borderId="2" xfId="0" applyFill="1" applyBorder="1"/>
    <xf numFmtId="0" fontId="0" fillId="0" borderId="4" xfId="0" applyBorder="1"/>
    <xf numFmtId="0" fontId="0" fillId="0" borderId="5" xfId="0" applyBorder="1"/>
    <xf numFmtId="0" fontId="0" fillId="2" borderId="5" xfId="0" applyFill="1" applyBorder="1"/>
    <xf numFmtId="0" fontId="0" fillId="0" borderId="7" xfId="0" applyBorder="1"/>
    <xf numFmtId="0" fontId="0" fillId="2" borderId="8" xfId="0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44" fontId="0" fillId="0" borderId="2" xfId="1" applyFont="1" applyFill="1" applyBorder="1"/>
    <xf numFmtId="44" fontId="0" fillId="0" borderId="2" xfId="1" applyFont="1" applyBorder="1"/>
    <xf numFmtId="44" fontId="0" fillId="0" borderId="3" xfId="1" applyFont="1" applyBorder="1"/>
    <xf numFmtId="44" fontId="0" fillId="0" borderId="5" xfId="1" applyFont="1" applyFill="1" applyBorder="1"/>
    <xf numFmtId="44" fontId="0" fillId="0" borderId="5" xfId="1" applyFont="1" applyBorder="1"/>
    <xf numFmtId="44" fontId="0" fillId="0" borderId="6" xfId="1" applyFont="1" applyBorder="1"/>
    <xf numFmtId="44" fontId="0" fillId="0" borderId="8" xfId="1" applyFont="1" applyFill="1" applyBorder="1"/>
    <xf numFmtId="44" fontId="0" fillId="0" borderId="8" xfId="1" applyFont="1" applyBorder="1"/>
    <xf numFmtId="44" fontId="0" fillId="0" borderId="9" xfId="1" applyFont="1" applyBorder="1"/>
    <xf numFmtId="44" fontId="0" fillId="0" borderId="5" xfId="1" applyNumberFormat="1" applyFont="1" applyBorder="1"/>
    <xf numFmtId="44" fontId="0" fillId="0" borderId="8" xfId="1" applyNumberFormat="1" applyFont="1" applyBorder="1"/>
    <xf numFmtId="44" fontId="0" fillId="0" borderId="6" xfId="1" applyNumberFormat="1" applyFont="1" applyBorder="1"/>
    <xf numFmtId="44" fontId="0" fillId="0" borderId="9" xfId="1" applyNumberFormat="1" applyFont="1" applyBorder="1"/>
    <xf numFmtId="0" fontId="0" fillId="0" borderId="10" xfId="0" applyBorder="1"/>
    <xf numFmtId="0" fontId="0" fillId="2" borderId="10" xfId="0" applyFill="1" applyBorder="1"/>
    <xf numFmtId="44" fontId="0" fillId="0" borderId="10" xfId="1" applyFont="1" applyFill="1" applyBorder="1"/>
    <xf numFmtId="44" fontId="0" fillId="0" borderId="2" xfId="1" applyNumberFormat="1" applyFont="1" applyBorder="1"/>
    <xf numFmtId="44" fontId="0" fillId="0" borderId="12" xfId="1" applyFont="1" applyBorder="1"/>
    <xf numFmtId="44" fontId="0" fillId="0" borderId="13" xfId="1" applyFont="1" applyBorder="1"/>
    <xf numFmtId="0" fontId="0" fillId="0" borderId="14" xfId="0" applyBorder="1"/>
    <xf numFmtId="44" fontId="0" fillId="0" borderId="11" xfId="1" applyNumberFormat="1" applyFont="1" applyBorder="1"/>
    <xf numFmtId="44" fontId="0" fillId="0" borderId="15" xfId="1" applyFont="1" applyBorder="1"/>
    <xf numFmtId="0" fontId="0" fillId="0" borderId="16" xfId="0" applyFill="1" applyBorder="1"/>
    <xf numFmtId="0" fontId="0" fillId="0" borderId="17" xfId="0" applyFill="1" applyBorder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1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21" xfId="0" applyFill="1" applyBorder="1"/>
    <xf numFmtId="0" fontId="0" fillId="0" borderId="22" xfId="0" applyFill="1" applyBorder="1"/>
    <xf numFmtId="0" fontId="0" fillId="0" borderId="0" xfId="0" applyAlignment="1">
      <alignment horizontal="center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24" xfId="0" applyBorder="1"/>
    <xf numFmtId="0" fontId="0" fillId="2" borderId="24" xfId="0" applyFill="1" applyBorder="1"/>
    <xf numFmtId="44" fontId="0" fillId="0" borderId="24" xfId="1" applyFont="1" applyFill="1" applyBorder="1"/>
    <xf numFmtId="44" fontId="0" fillId="0" borderId="24" xfId="1" applyNumberFormat="1" applyFont="1" applyBorder="1"/>
    <xf numFmtId="44" fontId="0" fillId="0" borderId="25" xfId="1" applyFont="1" applyBorder="1"/>
    <xf numFmtId="0" fontId="0" fillId="0" borderId="26" xfId="0" applyFill="1" applyBorder="1"/>
    <xf numFmtId="44" fontId="0" fillId="0" borderId="10" xfId="1" applyNumberFormat="1" applyFont="1" applyBorder="1"/>
    <xf numFmtId="44" fontId="0" fillId="0" borderId="11" xfId="1" applyFont="1" applyBorder="1"/>
    <xf numFmtId="0" fontId="0" fillId="0" borderId="5" xfId="0" applyFill="1" applyBorder="1"/>
    <xf numFmtId="0" fontId="0" fillId="0" borderId="2" xfId="0" applyFill="1" applyBorder="1"/>
    <xf numFmtId="0" fontId="0" fillId="0" borderId="5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29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31" xfId="0" applyBorder="1" applyAlignment="1">
      <alignment wrapText="1"/>
    </xf>
    <xf numFmtId="0" fontId="0" fillId="2" borderId="32" xfId="0" applyFill="1" applyBorder="1"/>
    <xf numFmtId="0" fontId="0" fillId="0" borderId="24" xfId="0" applyBorder="1" applyAlignment="1">
      <alignment wrapText="1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5" xfId="0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0" xfId="0" applyProtection="1"/>
    <xf numFmtId="0" fontId="0" fillId="0" borderId="0" xfId="0" applyAlignment="1" applyProtection="1">
      <alignment wrapText="1"/>
    </xf>
    <xf numFmtId="0" fontId="0" fillId="0" borderId="10" xfId="0" applyFill="1" applyBorder="1" applyProtection="1"/>
    <xf numFmtId="0" fontId="0" fillId="0" borderId="1" xfId="0" applyBorder="1" applyProtection="1"/>
    <xf numFmtId="0" fontId="0" fillId="0" borderId="4" xfId="0" applyBorder="1" applyProtection="1"/>
    <xf numFmtId="0" fontId="0" fillId="0" borderId="7" xfId="0" applyBorder="1" applyProtection="1"/>
    <xf numFmtId="0" fontId="0" fillId="2" borderId="23" xfId="0" applyFill="1" applyBorder="1" applyAlignment="1" applyProtection="1">
      <alignment horizontal="center" wrapText="1"/>
      <protection locked="0"/>
    </xf>
    <xf numFmtId="44" fontId="0" fillId="0" borderId="12" xfId="1" applyNumberFormat="1" applyFont="1" applyBorder="1"/>
    <xf numFmtId="43" fontId="0" fillId="0" borderId="2" xfId="2" applyFont="1" applyBorder="1" applyProtection="1"/>
    <xf numFmtId="43" fontId="0" fillId="0" borderId="5" xfId="2" applyFont="1" applyBorder="1" applyProtection="1"/>
    <xf numFmtId="43" fontId="0" fillId="0" borderId="8" xfId="2" applyFont="1" applyBorder="1" applyProtection="1"/>
    <xf numFmtId="43" fontId="0" fillId="0" borderId="0" xfId="2" applyFont="1" applyProtection="1">
      <protection locked="0"/>
    </xf>
    <xf numFmtId="49" fontId="0" fillId="0" borderId="0" xfId="2" applyNumberFormat="1" applyFont="1" applyAlignment="1" applyProtection="1">
      <alignment wrapText="1"/>
    </xf>
    <xf numFmtId="43" fontId="0" fillId="0" borderId="0" xfId="2" applyFont="1"/>
    <xf numFmtId="43" fontId="0" fillId="0" borderId="0" xfId="2" applyFont="1" applyAlignment="1">
      <alignment wrapText="1"/>
    </xf>
    <xf numFmtId="43" fontId="0" fillId="0" borderId="2" xfId="2" applyFont="1" applyBorder="1"/>
    <xf numFmtId="43" fontId="0" fillId="0" borderId="5" xfId="2" applyFont="1" applyBorder="1"/>
    <xf numFmtId="43" fontId="0" fillId="0" borderId="8" xfId="2" applyFont="1" applyBorder="1"/>
    <xf numFmtId="43" fontId="0" fillId="0" borderId="10" xfId="2" applyFont="1" applyBorder="1"/>
    <xf numFmtId="43" fontId="0" fillId="0" borderId="24" xfId="2" applyFont="1" applyBorder="1"/>
    <xf numFmtId="43" fontId="0" fillId="0" borderId="32" xfId="2" applyFont="1" applyBorder="1"/>
    <xf numFmtId="0" fontId="0" fillId="2" borderId="33" xfId="0" applyFill="1" applyBorder="1" applyProtection="1">
      <protection locked="0"/>
    </xf>
    <xf numFmtId="0" fontId="0" fillId="2" borderId="34" xfId="0" applyFill="1" applyBorder="1" applyProtection="1">
      <protection locked="0"/>
    </xf>
    <xf numFmtId="0" fontId="0" fillId="2" borderId="35" xfId="0" applyFill="1" applyBorder="1" applyProtection="1">
      <protection locked="0"/>
    </xf>
    <xf numFmtId="0" fontId="0" fillId="0" borderId="39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40" xfId="0" applyBorder="1" applyAlignment="1">
      <alignment wrapText="1"/>
    </xf>
    <xf numFmtId="44" fontId="0" fillId="0" borderId="1" xfId="1" applyFont="1" applyFill="1" applyBorder="1"/>
    <xf numFmtId="44" fontId="0" fillId="0" borderId="4" xfId="1" applyFont="1" applyFill="1" applyBorder="1"/>
    <xf numFmtId="44" fontId="0" fillId="0" borderId="7" xfId="1" applyFont="1" applyFill="1" applyBorder="1"/>
    <xf numFmtId="44" fontId="0" fillId="0" borderId="15" xfId="1" applyNumberFormat="1" applyFont="1" applyBorder="1"/>
    <xf numFmtId="44" fontId="0" fillId="0" borderId="13" xfId="1" applyNumberFormat="1" applyFont="1" applyBorder="1"/>
    <xf numFmtId="0" fontId="0" fillId="2" borderId="33" xfId="0" applyFill="1" applyBorder="1"/>
    <xf numFmtId="0" fontId="0" fillId="2" borderId="34" xfId="0" applyFill="1" applyBorder="1"/>
    <xf numFmtId="0" fontId="0" fillId="2" borderId="35" xfId="0" applyFill="1" applyBorder="1"/>
    <xf numFmtId="0" fontId="0" fillId="2" borderId="41" xfId="0" applyFill="1" applyBorder="1"/>
    <xf numFmtId="44" fontId="0" fillId="0" borderId="3" xfId="1" applyNumberFormat="1" applyFont="1" applyBorder="1"/>
    <xf numFmtId="44" fontId="0" fillId="0" borderId="14" xfId="1" applyFont="1" applyFill="1" applyBorder="1"/>
    <xf numFmtId="44" fontId="0" fillId="0" borderId="3" xfId="1" applyFont="1" applyFill="1" applyBorder="1"/>
    <xf numFmtId="44" fontId="0" fillId="0" borderId="11" xfId="1" applyFont="1" applyFill="1" applyBorder="1"/>
    <xf numFmtId="44" fontId="0" fillId="0" borderId="26" xfId="1" applyFont="1" applyFill="1" applyBorder="1"/>
    <xf numFmtId="44" fontId="0" fillId="0" borderId="6" xfId="1" applyFont="1" applyFill="1" applyBorder="1"/>
    <xf numFmtId="44" fontId="0" fillId="0" borderId="42" xfId="1" applyFont="1" applyFill="1" applyBorder="1"/>
    <xf numFmtId="44" fontId="0" fillId="0" borderId="9" xfId="1" applyFont="1" applyFill="1" applyBorder="1"/>
    <xf numFmtId="0" fontId="0" fillId="0" borderId="0" xfId="0" applyBorder="1" applyAlignment="1"/>
    <xf numFmtId="44" fontId="0" fillId="0" borderId="43" xfId="1" applyFont="1" applyFill="1" applyBorder="1"/>
    <xf numFmtId="44" fontId="0" fillId="0" borderId="1" xfId="1" applyNumberFormat="1" applyFont="1" applyFill="1" applyBorder="1"/>
    <xf numFmtId="44" fontId="0" fillId="0" borderId="4" xfId="1" applyNumberFormat="1" applyFont="1" applyFill="1" applyBorder="1"/>
    <xf numFmtId="44" fontId="0" fillId="0" borderId="7" xfId="1" applyNumberFormat="1" applyFont="1" applyFill="1" applyBorder="1"/>
    <xf numFmtId="44" fontId="0" fillId="0" borderId="41" xfId="1" applyFont="1" applyFill="1" applyBorder="1"/>
    <xf numFmtId="44" fontId="0" fillId="0" borderId="34" xfId="1" applyFont="1" applyFill="1" applyBorder="1"/>
    <xf numFmtId="44" fontId="0" fillId="0" borderId="35" xfId="1" applyFont="1" applyFill="1" applyBorder="1"/>
    <xf numFmtId="0" fontId="0" fillId="2" borderId="44" xfId="0" applyFill="1" applyBorder="1"/>
    <xf numFmtId="44" fontId="0" fillId="0" borderId="27" xfId="1" applyFont="1" applyFill="1" applyBorder="1"/>
    <xf numFmtId="44" fontId="0" fillId="0" borderId="25" xfId="1" applyFont="1" applyFill="1" applyBorder="1"/>
    <xf numFmtId="0" fontId="0" fillId="2" borderId="45" xfId="0" applyFill="1" applyBorder="1"/>
    <xf numFmtId="0" fontId="0" fillId="3" borderId="0" xfId="0" applyFill="1" applyAlignment="1" applyProtection="1">
      <alignment horizontal="center"/>
      <protection locked="0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3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40" xfId="0" applyFill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312">
    <dxf>
      <numFmt numFmtId="34" formatCode="_(&quot;$&quot;* #,##0.00_);_(&quot;$&quot;* \(#,##0.00\);_(&quot;$&quot;* &quot;-&quot;??_);_(@_)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</dxf>
    <dxf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bottom style="medium">
          <color rgb="FF000000"/>
        </bottom>
      </border>
    </dxf>
    <dxf>
      <fill>
        <patternFill patternType="solid">
          <fgColor rgb="FF000000"/>
          <bgColor rgb="FFFCE4D6"/>
        </patternFill>
      </fill>
    </dxf>
    <dxf>
      <alignment horizontal="general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</dxf>
    <dxf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border outline="0">
        <bottom style="medium">
          <color rgb="FF000000"/>
        </bottom>
      </border>
    </dxf>
    <dxf>
      <fill>
        <patternFill patternType="solid">
          <fgColor rgb="FF000000"/>
          <bgColor rgb="FFFCE4D6"/>
        </patternFill>
      </fill>
    </dxf>
    <dxf>
      <alignment horizontal="general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</dxf>
    <dxf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bottom style="medium">
          <color rgb="FF000000"/>
        </bottom>
      </border>
    </dxf>
    <dxf>
      <fill>
        <patternFill patternType="solid">
          <fgColor rgb="FF000000"/>
          <bgColor rgb="FFFCE4D6"/>
        </patternFill>
      </fill>
    </dxf>
    <dxf>
      <alignment horizontal="general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</dxf>
    <dxf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bottom style="medium">
          <color rgb="FF000000"/>
        </bottom>
      </border>
    </dxf>
    <dxf>
      <fill>
        <patternFill patternType="solid">
          <fgColor rgb="FF000000"/>
          <bgColor rgb="FFFCE4D6"/>
        </patternFill>
      </fill>
    </dxf>
    <dxf>
      <alignment horizontal="general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bottom style="medium">
          <color rgb="FF000000"/>
        </bottom>
      </border>
    </dxf>
    <dxf>
      <fill>
        <patternFill patternType="solid">
          <fgColor rgb="FF000000"/>
          <bgColor rgb="FFFCE4D6"/>
        </patternFill>
      </fill>
    </dxf>
    <dxf>
      <alignment horizontal="general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</dxf>
    <dxf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bottom style="medium">
          <color rgb="FF000000"/>
        </bottom>
      </border>
    </dxf>
    <dxf>
      <fill>
        <patternFill patternType="solid">
          <fgColor rgb="FF000000"/>
          <bgColor rgb="FFFCE4D6"/>
        </patternFill>
      </fill>
    </dxf>
    <dxf>
      <alignment horizontal="general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</dxf>
    <dxf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border outline="0">
        <bottom style="medium">
          <color rgb="FF000000"/>
        </bottom>
      </border>
    </dxf>
    <dxf>
      <fill>
        <patternFill patternType="solid">
          <fgColor rgb="FF000000"/>
          <bgColor rgb="FFFCE4D6"/>
        </patternFill>
      </fill>
    </dxf>
    <dxf>
      <alignment horizontal="general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</dxf>
    <dxf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bottom style="medium">
          <color rgb="FF000000"/>
        </bottom>
      </border>
    </dxf>
    <dxf>
      <fill>
        <patternFill patternType="solid">
          <fgColor rgb="FF000000"/>
          <bgColor rgb="FFFCE4D6"/>
        </patternFill>
      </fill>
    </dxf>
    <dxf>
      <alignment horizontal="general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</dxf>
    <dxf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bottom style="medium">
          <color rgb="FF000000"/>
        </bottom>
      </border>
    </dxf>
    <dxf>
      <fill>
        <patternFill patternType="solid">
          <fgColor rgb="FF000000"/>
          <bgColor rgb="FFFCE4D6"/>
        </patternFill>
      </fill>
    </dxf>
    <dxf>
      <alignment horizontal="general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</dxf>
    <dxf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bottom style="medium">
          <color rgb="FF000000"/>
        </bottom>
      </border>
    </dxf>
    <dxf>
      <fill>
        <patternFill patternType="solid">
          <fgColor rgb="FF000000"/>
          <bgColor rgb="FFFCE4D6"/>
        </patternFill>
      </fill>
    </dxf>
    <dxf>
      <alignment horizontal="general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border diagonalUp="0" diagonalDown="0">
        <left/>
        <right style="medium">
          <color indexed="64"/>
        </right>
        <top/>
        <bottom/>
      </border>
    </dxf>
    <dxf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bottom style="medium">
          <color indexed="64"/>
        </bottom>
      </border>
    </dxf>
    <dxf>
      <fill>
        <patternFill patternType="solid">
          <fgColor indexed="64"/>
          <bgColor theme="5" tint="0.79998168889431442"/>
        </patternFill>
      </fill>
    </dxf>
    <dxf>
      <alignment horizontal="general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34" formatCode="_(&quot;$&quot;* #,##0.00_);_(&quot;$&quot;* \(#,##0.00\);_(&quot;$&quot;* &quot;-&quot;??_);_(@_)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bottom style="medium">
          <color rgb="FF000000"/>
        </bottom>
      </border>
    </dxf>
    <dxf>
      <fill>
        <patternFill patternType="solid">
          <fgColor rgb="FF000000"/>
          <bgColor rgb="FFFCE4D6"/>
        </patternFill>
      </fill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hite, Sarah [IDOE]" refreshedDate="43644.485392361108" createdVersion="5" refreshedVersion="5" minRefreshableVersion="3" recordCount="32">
  <cacheSource type="worksheet">
    <worksheetSource name="Table1"/>
  </cacheSource>
  <cacheFields count="15">
    <cacheField name="Category" numFmtId="0">
      <sharedItems count="1">
        <s v="Cheese Bulk"/>
      </sharedItems>
    </cacheField>
    <cacheField name="Product Spec #" numFmtId="0">
      <sharedItems count="4">
        <s v="3c1"/>
        <s v="3c2"/>
        <s v="3c3"/>
        <s v="3c4"/>
      </sharedItems>
    </cacheField>
    <cacheField name="Manufacturer" numFmtId="0">
      <sharedItems count="3">
        <s v="Bongard's Creameries"/>
        <s v="Land o Lakes"/>
        <s v="Other:"/>
      </sharedItems>
    </cacheField>
    <cacheField name="Product Description" numFmtId="0">
      <sharedItems containsNonDate="0" containsString="0" containsBlank="1"/>
    </cacheField>
    <cacheField name="Manufacturer Product Code" numFmtId="0">
      <sharedItems containsNonDate="0" containsString="0" containsBlank="1"/>
    </cacheField>
    <cacheField name="Vendor Pack" numFmtId="0">
      <sharedItems containsNonDate="0" containsString="0" containsBlank="1"/>
    </cacheField>
    <cacheField name="# of CN Servings per case" numFmtId="0">
      <sharedItems containsNonDate="0" containsString="0" containsBlank="1"/>
    </cacheField>
    <cacheField name="Estimated Servings Annual" numFmtId="0">
      <sharedItems containsSemiMixedTypes="0" containsString="0" containsNumber="1" containsInteger="1" minValue="2000" maxValue="4800"/>
    </cacheField>
    <cacheField name="USDA Material Code" numFmtId="0">
      <sharedItems containsNonDate="0" containsString="0" containsBlank="1"/>
    </cacheField>
    <cacheField name="Pounds of DF Needed per Case" numFmtId="0">
      <sharedItems containsNonDate="0" containsString="0" containsBlank="1"/>
    </cacheField>
    <cacheField name="Donated Food Value per case" numFmtId="0">
      <sharedItems containsNonDate="0" containsString="0" containsBlank="1"/>
    </cacheField>
    <cacheField name="NOI Commercial Bid Price per case" numFmtId="0">
      <sharedItems containsNonDate="0" containsString="0" containsBlank="1"/>
    </cacheField>
    <cacheField name="Delivery Fee per Case" numFmtId="0">
      <sharedItems containsNonDate="0" containsString="0" containsBlank="1"/>
    </cacheField>
    <cacheField name="Total Cost Per Serving ((j+k+l)/f)" numFmtId="0">
      <sharedItems/>
    </cacheField>
    <cacheField name="Total Cost Per Year (M*G)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">
  <r>
    <x v="0"/>
    <x v="0"/>
    <x v="0"/>
    <m/>
    <m/>
    <m/>
    <m/>
    <n v="4600"/>
    <m/>
    <m/>
    <m/>
    <m/>
    <m/>
    <e v="#DIV/0!"/>
    <e v="#DIV/0!"/>
  </r>
  <r>
    <x v="0"/>
    <x v="0"/>
    <x v="0"/>
    <m/>
    <m/>
    <m/>
    <m/>
    <n v="4600"/>
    <m/>
    <m/>
    <m/>
    <m/>
    <m/>
    <e v="#DIV/0!"/>
    <e v="#DIV/0!"/>
  </r>
  <r>
    <x v="0"/>
    <x v="0"/>
    <x v="1"/>
    <m/>
    <m/>
    <m/>
    <m/>
    <n v="4600"/>
    <m/>
    <m/>
    <m/>
    <m/>
    <m/>
    <e v="#DIV/0!"/>
    <e v="#DIV/0!"/>
  </r>
  <r>
    <x v="0"/>
    <x v="0"/>
    <x v="1"/>
    <m/>
    <m/>
    <m/>
    <m/>
    <n v="4600"/>
    <m/>
    <m/>
    <m/>
    <m/>
    <m/>
    <e v="#DIV/0!"/>
    <e v="#DIV/0!"/>
  </r>
  <r>
    <x v="0"/>
    <x v="0"/>
    <x v="2"/>
    <m/>
    <m/>
    <m/>
    <m/>
    <n v="4600"/>
    <m/>
    <m/>
    <m/>
    <m/>
    <m/>
    <e v="#DIV/0!"/>
    <e v="#DIV/0!"/>
  </r>
  <r>
    <x v="0"/>
    <x v="0"/>
    <x v="2"/>
    <m/>
    <m/>
    <m/>
    <m/>
    <n v="4600"/>
    <m/>
    <m/>
    <m/>
    <m/>
    <m/>
    <e v="#DIV/0!"/>
    <e v="#DIV/0!"/>
  </r>
  <r>
    <x v="0"/>
    <x v="0"/>
    <x v="2"/>
    <m/>
    <m/>
    <m/>
    <m/>
    <n v="4600"/>
    <m/>
    <m/>
    <m/>
    <m/>
    <m/>
    <e v="#DIV/0!"/>
    <e v="#DIV/0!"/>
  </r>
  <r>
    <x v="0"/>
    <x v="0"/>
    <x v="2"/>
    <m/>
    <m/>
    <m/>
    <m/>
    <n v="4600"/>
    <m/>
    <m/>
    <m/>
    <m/>
    <m/>
    <e v="#DIV/0!"/>
    <e v="#DIV/0!"/>
  </r>
  <r>
    <x v="0"/>
    <x v="1"/>
    <x v="0"/>
    <m/>
    <m/>
    <m/>
    <m/>
    <n v="4100"/>
    <m/>
    <m/>
    <m/>
    <m/>
    <m/>
    <e v="#DIV/0!"/>
    <e v="#DIV/0!"/>
  </r>
  <r>
    <x v="0"/>
    <x v="1"/>
    <x v="0"/>
    <m/>
    <m/>
    <m/>
    <m/>
    <n v="4100"/>
    <m/>
    <m/>
    <m/>
    <m/>
    <m/>
    <e v="#DIV/0!"/>
    <e v="#DIV/0!"/>
  </r>
  <r>
    <x v="0"/>
    <x v="1"/>
    <x v="1"/>
    <m/>
    <m/>
    <m/>
    <m/>
    <n v="4100"/>
    <m/>
    <m/>
    <m/>
    <m/>
    <m/>
    <e v="#DIV/0!"/>
    <e v="#DIV/0!"/>
  </r>
  <r>
    <x v="0"/>
    <x v="1"/>
    <x v="1"/>
    <m/>
    <m/>
    <m/>
    <m/>
    <n v="4100"/>
    <m/>
    <m/>
    <m/>
    <m/>
    <m/>
    <e v="#DIV/0!"/>
    <e v="#DIV/0!"/>
  </r>
  <r>
    <x v="0"/>
    <x v="1"/>
    <x v="2"/>
    <m/>
    <m/>
    <m/>
    <m/>
    <n v="4100"/>
    <m/>
    <m/>
    <m/>
    <m/>
    <m/>
    <e v="#DIV/0!"/>
    <e v="#DIV/0!"/>
  </r>
  <r>
    <x v="0"/>
    <x v="1"/>
    <x v="2"/>
    <m/>
    <m/>
    <m/>
    <m/>
    <n v="4100"/>
    <m/>
    <m/>
    <m/>
    <m/>
    <m/>
    <e v="#DIV/0!"/>
    <e v="#DIV/0!"/>
  </r>
  <r>
    <x v="0"/>
    <x v="1"/>
    <x v="2"/>
    <m/>
    <m/>
    <m/>
    <m/>
    <n v="4100"/>
    <m/>
    <m/>
    <m/>
    <m/>
    <m/>
    <e v="#DIV/0!"/>
    <e v="#DIV/0!"/>
  </r>
  <r>
    <x v="0"/>
    <x v="1"/>
    <x v="2"/>
    <m/>
    <m/>
    <m/>
    <m/>
    <n v="4100"/>
    <m/>
    <m/>
    <m/>
    <m/>
    <m/>
    <e v="#DIV/0!"/>
    <e v="#DIV/0!"/>
  </r>
  <r>
    <x v="0"/>
    <x v="2"/>
    <x v="0"/>
    <m/>
    <m/>
    <m/>
    <m/>
    <n v="2000"/>
    <m/>
    <m/>
    <m/>
    <m/>
    <m/>
    <e v="#DIV/0!"/>
    <e v="#DIV/0!"/>
  </r>
  <r>
    <x v="0"/>
    <x v="2"/>
    <x v="0"/>
    <m/>
    <m/>
    <m/>
    <m/>
    <n v="2000"/>
    <m/>
    <m/>
    <m/>
    <m/>
    <m/>
    <e v="#DIV/0!"/>
    <e v="#DIV/0!"/>
  </r>
  <r>
    <x v="0"/>
    <x v="2"/>
    <x v="1"/>
    <m/>
    <m/>
    <m/>
    <m/>
    <n v="2000"/>
    <m/>
    <m/>
    <m/>
    <m/>
    <m/>
    <e v="#DIV/0!"/>
    <e v="#DIV/0!"/>
  </r>
  <r>
    <x v="0"/>
    <x v="2"/>
    <x v="1"/>
    <m/>
    <m/>
    <m/>
    <m/>
    <n v="2000"/>
    <m/>
    <m/>
    <m/>
    <m/>
    <m/>
    <e v="#DIV/0!"/>
    <e v="#DIV/0!"/>
  </r>
  <r>
    <x v="0"/>
    <x v="2"/>
    <x v="2"/>
    <m/>
    <m/>
    <m/>
    <m/>
    <n v="2000"/>
    <m/>
    <m/>
    <m/>
    <m/>
    <m/>
    <e v="#DIV/0!"/>
    <e v="#DIV/0!"/>
  </r>
  <r>
    <x v="0"/>
    <x v="2"/>
    <x v="2"/>
    <m/>
    <m/>
    <m/>
    <m/>
    <n v="2000"/>
    <m/>
    <m/>
    <m/>
    <m/>
    <m/>
    <e v="#DIV/0!"/>
    <e v="#DIV/0!"/>
  </r>
  <r>
    <x v="0"/>
    <x v="2"/>
    <x v="2"/>
    <m/>
    <m/>
    <m/>
    <m/>
    <n v="2000"/>
    <m/>
    <m/>
    <m/>
    <m/>
    <m/>
    <e v="#DIV/0!"/>
    <e v="#DIV/0!"/>
  </r>
  <r>
    <x v="0"/>
    <x v="2"/>
    <x v="2"/>
    <m/>
    <m/>
    <m/>
    <m/>
    <n v="2000"/>
    <m/>
    <m/>
    <m/>
    <m/>
    <m/>
    <e v="#DIV/0!"/>
    <e v="#DIV/0!"/>
  </r>
  <r>
    <x v="0"/>
    <x v="3"/>
    <x v="0"/>
    <m/>
    <m/>
    <m/>
    <m/>
    <n v="4800"/>
    <m/>
    <m/>
    <m/>
    <m/>
    <m/>
    <e v="#DIV/0!"/>
    <e v="#DIV/0!"/>
  </r>
  <r>
    <x v="0"/>
    <x v="3"/>
    <x v="0"/>
    <m/>
    <m/>
    <m/>
    <m/>
    <n v="4800"/>
    <m/>
    <m/>
    <m/>
    <m/>
    <m/>
    <e v="#DIV/0!"/>
    <e v="#DIV/0!"/>
  </r>
  <r>
    <x v="0"/>
    <x v="3"/>
    <x v="1"/>
    <m/>
    <m/>
    <m/>
    <m/>
    <n v="4800"/>
    <m/>
    <m/>
    <m/>
    <m/>
    <m/>
    <e v="#DIV/0!"/>
    <e v="#DIV/0!"/>
  </r>
  <r>
    <x v="0"/>
    <x v="3"/>
    <x v="1"/>
    <m/>
    <m/>
    <m/>
    <m/>
    <n v="4800"/>
    <m/>
    <m/>
    <m/>
    <m/>
    <m/>
    <e v="#DIV/0!"/>
    <e v="#DIV/0!"/>
  </r>
  <r>
    <x v="0"/>
    <x v="3"/>
    <x v="2"/>
    <m/>
    <m/>
    <m/>
    <m/>
    <n v="4800"/>
    <m/>
    <m/>
    <m/>
    <m/>
    <m/>
    <e v="#DIV/0!"/>
    <e v="#DIV/0!"/>
  </r>
  <r>
    <x v="0"/>
    <x v="3"/>
    <x v="2"/>
    <m/>
    <m/>
    <m/>
    <m/>
    <n v="4800"/>
    <m/>
    <m/>
    <m/>
    <m/>
    <m/>
    <e v="#DIV/0!"/>
    <e v="#DIV/0!"/>
  </r>
  <r>
    <x v="0"/>
    <x v="3"/>
    <x v="2"/>
    <m/>
    <m/>
    <m/>
    <m/>
    <n v="4800"/>
    <m/>
    <m/>
    <m/>
    <m/>
    <m/>
    <e v="#DIV/0!"/>
    <e v="#DIV/0!"/>
  </r>
  <r>
    <x v="0"/>
    <x v="3"/>
    <x v="2"/>
    <m/>
    <m/>
    <m/>
    <m/>
    <n v="4800"/>
    <m/>
    <m/>
    <m/>
    <m/>
    <m/>
    <e v="#DIV/0!"/>
    <e v="#DIV/0!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21" firstHeaderRow="1" firstDataRow="1" firstDataCol="1"/>
  <pivotFields count="15">
    <pivotField axis="axisRow" showAll="0">
      <items count="2"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3">
    <field x="0"/>
    <field x="1"/>
    <field x="2"/>
  </rowFields>
  <rowItems count="18">
    <i>
      <x/>
    </i>
    <i r="1">
      <x/>
    </i>
    <i r="2">
      <x/>
    </i>
    <i r="2">
      <x v="1"/>
    </i>
    <i r="2">
      <x v="2"/>
    </i>
    <i r="1">
      <x v="1"/>
    </i>
    <i r="2">
      <x/>
    </i>
    <i r="2">
      <x v="1"/>
    </i>
    <i r="2">
      <x v="2"/>
    </i>
    <i r="1">
      <x v="2"/>
    </i>
    <i r="2">
      <x/>
    </i>
    <i r="2">
      <x v="1"/>
    </i>
    <i r="2">
      <x v="2"/>
    </i>
    <i r="1">
      <x v="3"/>
    </i>
    <i r="2">
      <x/>
    </i>
    <i r="2">
      <x v="1"/>
    </i>
    <i r="2">
      <x v="2"/>
    </i>
    <i t="grand">
      <x/>
    </i>
  </rowItems>
  <colItems count="1">
    <i/>
  </colItems>
  <dataFields count="1">
    <dataField name="Sum of Total Cost Per Year (M*G)" fld="1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3" name="Table14" displayName="Table14" ref="A2:W50" totalsRowShown="0" headerRowDxfId="311" dataDxfId="310" tableBorderDxfId="309">
  <autoFilter ref="A2:W50"/>
  <tableColumns count="23">
    <tableColumn id="15" name="Category" dataDxfId="308"/>
    <tableColumn id="1" name="Product Spec #" dataDxfId="307"/>
    <tableColumn id="2" name="Manufacturer (max 2 per manufactuerer)" dataDxfId="306"/>
    <tableColumn id="19" name="Is product available through the NOI VPT Method? (Y/N)" dataDxfId="305"/>
    <tableColumn id="3" name="Product Description" dataDxfId="304"/>
    <tableColumn id="17" name="Manufacturer Product Code" dataDxfId="303"/>
    <tableColumn id="4" name="Distributor Product Code" dataDxfId="302"/>
    <tableColumn id="5" name="Vendor Pack" dataDxfId="301"/>
    <tableColumn id="6" name="# of CN Servings per case" dataDxfId="300"/>
    <tableColumn id="7" name="Estimated Servings Annual" dataDxfId="299" dataCellStyle="Comma"/>
    <tableColumn id="8" name="USDA Material Code" dataDxfId="298"/>
    <tableColumn id="9" name="Pounds of DF Needed per Case (#)" dataDxfId="297"/>
    <tableColumn id="10" name="Pass-Thru Value per case ($)" dataDxfId="296"/>
    <tableColumn id="11" name="Commercial Bid Price per case for NOI ($)" dataDxfId="295"/>
    <tableColumn id="20" name="Region 1: Fixed Fee Per Case ($)" dataDxfId="294"/>
    <tableColumn id="12" name="Region 2: Fixed Fee Per Case ($)" dataDxfId="293"/>
    <tableColumn id="16" name="Special Order Item? (Y/N)" dataDxfId="292"/>
    <tableColumn id="18" name="NOI Net Cost Per Case (N-M)+O" dataDxfId="291" dataCellStyle="Currency">
      <calculatedColumnFormula>(Table14[[#This Row],[Commercial Bid Price per case for NOI ($)]]-Table14[[#This Row],[Pass-Thru Value per case ($)]])+Table14[[#This Row],[Region 1: Fixed Fee Per Case ($)]]</calculatedColumnFormula>
    </tableColumn>
    <tableColumn id="13" name="Total Cost Per Serving (N+O)/I" dataDxfId="290" dataCellStyle="Currency">
      <calculatedColumnFormula>(Table14[[#This Row],[Commercial Bid Price per case for NOI ($)]]+Table14[[#This Row],[Region 1: Fixed Fee Per Case ($)]])/Table14[[#This Row],['# of CN Servings per case]]</calculatedColumnFormula>
    </tableColumn>
    <tableColumn id="14" name="Total Cost Per Year (S*J)" dataDxfId="289" dataCellStyle="Currency">
      <calculatedColumnFormula>Table14[[#This Row],[Total Cost Per Serving (N+O)/I]]*Table14[[#This Row],[Estimated Servings Annual]]</calculatedColumnFormula>
    </tableColumn>
    <tableColumn id="21" name="NOI Net Cost Per Case (N-M)+P" dataDxfId="288" dataCellStyle="Currency">
      <calculatedColumnFormula>(Table14[[#This Row],[Commercial Bid Price per case for NOI ($)]]-Table14[[#This Row],[Pass-Thru Value per case ($)]])+Table14[[#This Row],[Region 2: Fixed Fee Per Case ($)]]</calculatedColumnFormula>
    </tableColumn>
    <tableColumn id="22" name="Total Cost Per Serving (N+P)/I" dataDxfId="287" dataCellStyle="Currency">
      <calculatedColumnFormula>(Table14[[#This Row],[Commercial Bid Price per case for NOI ($)]]+Table14[[#This Row],[Region 2: Fixed Fee Per Case ($)]])/Table14[[#This Row],['# of CN Servings per case]]</calculatedColumnFormula>
    </tableColumn>
    <tableColumn id="23" name="Total Cost Per Year (V*J)" dataDxfId="286" dataCellStyle="Currency">
      <calculatedColumnFormula>Table14[[#This Row],[Total Cost Per Serving (N+P)/I]]*Table14[[#This Row],[Estimated Servings Annual]]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1" name="Table156712" displayName="Table156712" ref="A2:W36" totalsRowShown="0" headerRowDxfId="77" dataDxfId="76" tableBorderDxfId="75">
  <autoFilter ref="A2:W36"/>
  <tableColumns count="23">
    <tableColumn id="15" name="Category" dataDxfId="74"/>
    <tableColumn id="1" name="Product Spec #" dataDxfId="73"/>
    <tableColumn id="2" name="Manufacturer (max 2 per manufactuerer)" dataDxfId="72"/>
    <tableColumn id="19" name="Is product available through the NOI VPT Method? (Y/N)" dataDxfId="71"/>
    <tableColumn id="3" name="Product Description" dataDxfId="70"/>
    <tableColumn id="17" name="Manufacturer Product Code" dataDxfId="69"/>
    <tableColumn id="4" name="Distributor Product Code" dataDxfId="68"/>
    <tableColumn id="5" name="Vendor Pack" dataDxfId="67"/>
    <tableColumn id="6" name="# of CN Servings per case" dataDxfId="66"/>
    <tableColumn id="7" name="Estimated Servings Annual" dataDxfId="65" dataCellStyle="Comma"/>
    <tableColumn id="8" name="USDA Material Code" dataDxfId="64"/>
    <tableColumn id="9" name="Pounds of DF Needed per Case (#)" dataDxfId="63"/>
    <tableColumn id="10" name="Pass-Thru Value per case ($)" dataDxfId="62"/>
    <tableColumn id="11" name="Commercial Bid Price per case for NOI ($)" dataDxfId="61"/>
    <tableColumn id="20" name="Region 1: Fixed Fee Per Case ($)" dataDxfId="60"/>
    <tableColumn id="12" name="Region 2: Fixed Fee Per Case ($)" dataDxfId="59"/>
    <tableColumn id="16" name="Special Order Item? (Y/N)" dataDxfId="58"/>
    <tableColumn id="18" name="NOI Net Cost Per Case (N-M)+O" dataDxfId="57" dataCellStyle="Currency">
      <calculatedColumnFormula>(Table156712[[#This Row],[Commercial Bid Price per case for NOI ($)]]-Table156712[[#This Row],[Pass-Thru Value per case ($)]])+Table156712[[#This Row],[Region 1: Fixed Fee Per Case ($)]]</calculatedColumnFormula>
    </tableColumn>
    <tableColumn id="23" name="Total Cost Per Serving (N+O)/I" dataDxfId="56" dataCellStyle="Currency">
      <calculatedColumnFormula>(Table156712[[#This Row],[Commercial Bid Price per case for NOI ($)]]+Table156712[[#This Row],[Region 1: Fixed Fee Per Case ($)]])/Table156712[[#This Row],['# of CN Servings per case]]</calculatedColumnFormula>
    </tableColumn>
    <tableColumn id="22" name="Total Cost Per Year (S*J)" dataDxfId="55" dataCellStyle="Currency">
      <calculatedColumnFormula>Table156712[[#This Row],[Total Cost Per Serving (N+O)/I]]*Table156712[[#This Row],[Estimated Servings Annual]]</calculatedColumnFormula>
    </tableColumn>
    <tableColumn id="21" name="NOI Net Cost Per Case (N-M)+P" dataDxfId="54" dataCellStyle="Currency">
      <calculatedColumnFormula>(Table156712[[#This Row],[Commercial Bid Price per case for NOI ($)]]-Table156712[[#This Row],[Pass-Thru Value per case ($)]])+Table156712[[#This Row],[Region 2: Fixed Fee Per Case ($)]]</calculatedColumnFormula>
    </tableColumn>
    <tableColumn id="13" name="Total Cost Per Serving (N+P)/I" dataDxfId="53" dataCellStyle="Currency">
      <calculatedColumnFormula>(Table156712[[#This Row],[Commercial Bid Price per case for NOI ($)]]+Table156712[[#This Row],[Region 2: Fixed Fee Per Case ($)]])/Table156712[[#This Row],['# of CN Servings per case]]</calculatedColumnFormula>
    </tableColumn>
    <tableColumn id="14" name="Total Cost Per Year (V*J)" dataDxfId="52" dataCellStyle="Currency">
      <calculatedColumnFormula>Table156712[[#This Row],[Total Cost Per Serving (N+P)/I]]*Table156712[[#This Row],[Estimated Servings Annual]]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2" name="Table1567123" displayName="Table1567123" ref="A2:W80" totalsRowShown="0" headerRowDxfId="51" dataDxfId="50" tableBorderDxfId="49">
  <autoFilter ref="A2:W80"/>
  <tableColumns count="23">
    <tableColumn id="15" name="Category" dataDxfId="48"/>
    <tableColumn id="1" name="Product Spec #" dataDxfId="47"/>
    <tableColumn id="2" name="Manufacturer (max 2 per manufactuerer)" dataDxfId="46"/>
    <tableColumn id="19" name="Is product available through the NOI VPT Method? (Y/N)" dataDxfId="45"/>
    <tableColumn id="3" name="Product Description" dataDxfId="44"/>
    <tableColumn id="17" name="Manufacturer Product Code" dataDxfId="43"/>
    <tableColumn id="4" name="Distributor Product Code" dataDxfId="42"/>
    <tableColumn id="5" name="Vendor Pack" dataDxfId="41"/>
    <tableColumn id="6" name="# of CN Servings per case" dataDxfId="40"/>
    <tableColumn id="7" name="Estimated Servings Annual" dataDxfId="39" dataCellStyle="Comma"/>
    <tableColumn id="8" name="USDA Material Code" dataDxfId="38"/>
    <tableColumn id="9" name="Pounds of DF Needed per Case (#)" dataDxfId="37"/>
    <tableColumn id="10" name="Pass-Thru Value per case ($)" dataDxfId="36"/>
    <tableColumn id="11" name="Commercial Bid Price per case for NOI ($)" dataDxfId="35"/>
    <tableColumn id="20" name="Region 1: Fixed Fee Per Case ($)" dataDxfId="34"/>
    <tableColumn id="12" name="Region 2: Fixed Fee Per Case ($)" dataDxfId="33"/>
    <tableColumn id="16" name="Special Order Item? (Y/N)" dataDxfId="32"/>
    <tableColumn id="18" name="NOI Net Cost Per Case (N-M)+O" dataDxfId="31" dataCellStyle="Currency">
      <calculatedColumnFormula>(Table1567123[[#This Row],[Commercial Bid Price per case for NOI ($)]]-Table1567123[[#This Row],[Pass-Thru Value per case ($)]])+Table1567123[[#This Row],[Region 1: Fixed Fee Per Case ($)]]</calculatedColumnFormula>
    </tableColumn>
    <tableColumn id="23" name="Total Cost Per Serving (N+O)/I" dataDxfId="30" dataCellStyle="Currency">
      <calculatedColumnFormula>(Table1567123[[#This Row],[Commercial Bid Price per case for NOI ($)]]+Table1567123[[#This Row],[Region 1: Fixed Fee Per Case ($)]])/Table1567123[[#This Row],['# of CN Servings per case]]</calculatedColumnFormula>
    </tableColumn>
    <tableColumn id="22" name="Total Cost Per Year (S*J)" dataDxfId="29" dataCellStyle="Currency">
      <calculatedColumnFormula>Table1567123[[#This Row],[Total Cost Per Serving (N+O)/I]]*Table1567123[[#This Row],[Estimated Servings Annual]]</calculatedColumnFormula>
    </tableColumn>
    <tableColumn id="21" name="NOI Net Cost Per Case (N-M)+P" dataDxfId="28" dataCellStyle="Currency">
      <calculatedColumnFormula>(Table1567123[[#This Row],[Commercial Bid Price per case for NOI ($)]]-Table1567123[[#This Row],[Pass-Thru Value per case ($)]])+Table1567123[[#This Row],[Region 2: Fixed Fee Per Case ($)]]</calculatedColumnFormula>
    </tableColumn>
    <tableColumn id="13" name="Total Cost Per Serving (N+P)/I" dataDxfId="27" dataCellStyle="Currency">
      <calculatedColumnFormula>(Table1567123[[#This Row],[Commercial Bid Price per case for NOI ($)]]+Table1567123[[#This Row],[Region 2: Fixed Fee Per Case ($)]])/Table1567123[[#This Row],['# of CN Servings per case]]</calculatedColumnFormula>
    </tableColumn>
    <tableColumn id="14" name="Total Cost Per Year (V*J)" dataDxfId="26" dataCellStyle="Currency">
      <calculatedColumnFormula>Table1567123[[#This Row],[Total Cost Per Serving (N+P)/I]]*Table1567123[[#This Row],[Estimated Servings Annual]]</calculatedColumn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2" name="Table15671213" displayName="Table15671213" ref="A2:W10" totalsRowShown="0" headerRowDxfId="25" dataDxfId="24" tableBorderDxfId="23">
  <autoFilter ref="A2:W10"/>
  <tableColumns count="23">
    <tableColumn id="15" name="Category" dataDxfId="22"/>
    <tableColumn id="1" name="Product Spec #" dataDxfId="21"/>
    <tableColumn id="2" name="Manufacturer (max 2 per manufactuerer)" dataDxfId="20"/>
    <tableColumn id="19" name="Is product available through the NOI VPT Method? (Y/N)" dataDxfId="19"/>
    <tableColumn id="3" name="Product Description" dataDxfId="18"/>
    <tableColumn id="17" name="Manufacturer Product Code" dataDxfId="17"/>
    <tableColumn id="4" name="Distributor Product Code" dataDxfId="16"/>
    <tableColumn id="5" name="Vendor Pack" dataDxfId="15"/>
    <tableColumn id="6" name="# of CN Servings per case" dataDxfId="14"/>
    <tableColumn id="7" name="Estimated Servings Annual" dataDxfId="13" dataCellStyle="Comma"/>
    <tableColumn id="8" name="USDA Material Code" dataDxfId="12"/>
    <tableColumn id="9" name="Pounds of DF Needed per Case (#)" dataDxfId="11"/>
    <tableColumn id="10" name="Pass-Thru Value per case ($)" dataDxfId="10"/>
    <tableColumn id="11" name="Commercial Bid Price per case for NOI ($)" dataDxfId="9"/>
    <tableColumn id="20" name="Region 1: Fixed Fee Per Case ($)" dataDxfId="8"/>
    <tableColumn id="12" name="Region 2: Fixed Fee Per Case ($)" dataDxfId="7"/>
    <tableColumn id="16" name="Special Order Item? (Y/N)" dataDxfId="6"/>
    <tableColumn id="18" name="NOI Net Cost Per Case (N-M)+O" dataDxfId="5" dataCellStyle="Currency">
      <calculatedColumnFormula>(Table15671213[[#This Row],[Commercial Bid Price per case for NOI ($)]]-Table15671213[[#This Row],[Pass-Thru Value per case ($)]])+Table15671213[[#This Row],[Region 1: Fixed Fee Per Case ($)]]</calculatedColumnFormula>
    </tableColumn>
    <tableColumn id="23" name="Total Cost Per Serving (N+O)/I" dataDxfId="4" dataCellStyle="Currency">
      <calculatedColumnFormula>(Table15671213[[#This Row],[Commercial Bid Price per case for NOI ($)]]+Table15671213[[#This Row],[Region 1: Fixed Fee Per Case ($)]])/Table15671213[[#This Row],['# of CN Servings per case]]</calculatedColumnFormula>
    </tableColumn>
    <tableColumn id="22" name="Total Cost Per Year (S*J)" dataDxfId="3" dataCellStyle="Currency">
      <calculatedColumnFormula>Table15671213[[#This Row],[Total Cost Per Serving (N+O)/I]]*Table15671213[[#This Row],[Estimated Servings Annual]]</calculatedColumnFormula>
    </tableColumn>
    <tableColumn id="21" name="NOI Net Cost Per Case (N-M)+P" dataDxfId="2" dataCellStyle="Currency">
      <calculatedColumnFormula>(Table15671213[[#This Row],[Commercial Bid Price per case for NOI ($)]]-Table15671213[[#This Row],[Pass-Thru Value per case ($)]])+Table15671213[[#This Row],[Region 2: Fixed Fee Per Case ($)]]</calculatedColumnFormula>
    </tableColumn>
    <tableColumn id="13" name="Total Cost Per Serving (N+P)/I" dataDxfId="1" dataCellStyle="Currency">
      <calculatedColumnFormula>(Table15671213[[#This Row],[Commercial Bid Price per case for NOI ($)]]+Table15671213[[#This Row],[Region 2: Fixed Fee Per Case ($)]])/Table15671213[[#This Row],['# of CN Servings per case]]</calculatedColumnFormula>
    </tableColumn>
    <tableColumn id="14" name="Total Cost Per Year (V*J)" dataDxfId="0" dataCellStyle="Currency">
      <calculatedColumnFormula>Table15671213[[#This Row],[Total Cost Per Serving (N+P)/I]]*Table15671213[[#This Row],[Estimated Servings Annual]]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2:W74" totalsRowShown="0" headerRowDxfId="285" dataDxfId="284" tableBorderDxfId="283">
  <autoFilter ref="A2:W74"/>
  <tableColumns count="23">
    <tableColumn id="15" name="Category" dataDxfId="282"/>
    <tableColumn id="1" name="Product Spec #" dataDxfId="281"/>
    <tableColumn id="2" name="Manufacturer (max 2 per manufactuerer)" dataDxfId="280"/>
    <tableColumn id="19" name="Is product available through the NOI VPT Method? (Y/N)" dataDxfId="279"/>
    <tableColumn id="3" name="Product Description" dataDxfId="278"/>
    <tableColumn id="17" name="Manufacturer Product Code" dataDxfId="277"/>
    <tableColumn id="4" name="Distributor Product Code" dataDxfId="276"/>
    <tableColumn id="5" name="Vendor Pack" dataDxfId="275"/>
    <tableColumn id="6" name="# of CN Servings per case" dataDxfId="274"/>
    <tableColumn id="7" name="Estimated Servings Annual" dataDxfId="273" dataCellStyle="Comma"/>
    <tableColumn id="8" name="USDA Material Code" dataDxfId="272"/>
    <tableColumn id="9" name="Pounds of DF Needed per Case (#)" dataDxfId="271"/>
    <tableColumn id="10" name="Pass-Thru Value per case ($)" dataDxfId="270"/>
    <tableColumn id="11" name="Commercial Bid Price per case for NOI ($)" dataDxfId="269"/>
    <tableColumn id="23" name="Region 1: Fixed Fee Per Case ($)" dataDxfId="268"/>
    <tableColumn id="12" name="Region 2: Fixed Fee Per Case ($)" dataDxfId="267"/>
    <tableColumn id="16" name="Special Order Item? (Y/N)" dataDxfId="266"/>
    <tableColumn id="18" name="NOI Net Cost Per Case (N-M)+O" dataDxfId="265" dataCellStyle="Currency">
      <calculatedColumnFormula>(Table1[[#This Row],[Commercial Bid Price per case for NOI ($)]]-Table1[[#This Row],[Pass-Thru Value per case ($)]])+Table1[[#This Row],[Region 1: Fixed Fee Per Case ($)]]</calculatedColumnFormula>
    </tableColumn>
    <tableColumn id="13" name="Total Cost Per Serving (N+O)/I" dataDxfId="264" dataCellStyle="Currency">
      <calculatedColumnFormula>(Table1[[#This Row],[Commercial Bid Price per case for NOI ($)]]+Table1[[#This Row],[Region 1: Fixed Fee Per Case ($)]])/Table1[[#This Row],['# of CN Servings per case]]</calculatedColumnFormula>
    </tableColumn>
    <tableColumn id="21" name="Total Cost Per Year (S*J)" dataDxfId="263" dataCellStyle="Currency">
      <calculatedColumnFormula>Table1[[#This Row],[Total Cost Per Serving (N+O)/I]]*Table1[[#This Row],[Estimated Servings Annual]]</calculatedColumnFormula>
    </tableColumn>
    <tableColumn id="22" name="NOI Net Cost Per Case (N-M)+P" dataDxfId="262" dataCellStyle="Currency">
      <calculatedColumnFormula>(Table1[[#This Row],[Commercial Bid Price per case for NOI ($)]]-Table1[[#This Row],[Pass-Thru Value per case ($)]])+Table1[[#This Row],[Region 2: Fixed Fee Per Case ($)]]</calculatedColumnFormula>
    </tableColumn>
    <tableColumn id="14" name="Total Cost Per Serving (N+P)/I" dataDxfId="261" dataCellStyle="Currency">
      <calculatedColumnFormula>(Table1[[#This Row],[Commercial Bid Price per case for NOI ($)]]+Table1[[#This Row],[Region 2: Fixed Fee Per Case ($)]])/Table1[[#This Row],['# of CN Servings per case]]</calculatedColumnFormula>
    </tableColumn>
    <tableColumn id="20" name="Total Cost Per Year (V*J)" dataDxfId="260" dataCellStyle="Currency">
      <calculatedColumnFormula>Table1[[#This Row],[Total Cost Per Serving (N+P)/I]]*Table1[[#This Row],[Estimated Servings Annual]]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Table15" displayName="Table15" ref="A2:W74" totalsRowShown="0" headerRowDxfId="259" dataDxfId="258" tableBorderDxfId="257">
  <autoFilter ref="A2:W74"/>
  <tableColumns count="23">
    <tableColumn id="15" name="Category" dataDxfId="256"/>
    <tableColumn id="1" name="Product Spec #" dataDxfId="255"/>
    <tableColumn id="2" name="Manufacturer (max 2 per manufactuerer)" dataDxfId="254"/>
    <tableColumn id="19" name="Is product available through the NOI VPT Method? (Y/N)" dataDxfId="253"/>
    <tableColumn id="3" name="Product Description" dataDxfId="252"/>
    <tableColumn id="17" name="Manufacturer Product Code" dataDxfId="251"/>
    <tableColumn id="4" name="Distributor Product Code" dataDxfId="250"/>
    <tableColumn id="5" name="Vendor Pack" dataDxfId="249"/>
    <tableColumn id="6" name="# of CN Servings per case" dataDxfId="248"/>
    <tableColumn id="7" name="Estimated Servings Annual" dataDxfId="247" dataCellStyle="Comma"/>
    <tableColumn id="8" name="USDA Material Code" dataDxfId="246"/>
    <tableColumn id="9" name="Pounds of DF Needed per Case (#)" dataDxfId="245"/>
    <tableColumn id="10" name="Pass-Thru Value per case ($)" dataDxfId="244"/>
    <tableColumn id="11" name="Commercial Bid Price per case for NOI ($)" dataDxfId="243"/>
    <tableColumn id="20" name="Region 1: Fixed Fee Per Case ($)" dataDxfId="242"/>
    <tableColumn id="12" name="Region 2: Fixed Fee Per Case ($)" dataDxfId="241"/>
    <tableColumn id="16" name="Special Order Item? (Y/N)" dataDxfId="240"/>
    <tableColumn id="18" name="NOI Net Cost Per Case (N-M)+O" dataDxfId="239" dataCellStyle="Currency">
      <calculatedColumnFormula>(Table15[[#This Row],[Commercial Bid Price per case for NOI ($)]]-Table15[[#This Row],[Pass-Thru Value per case ($)]])+Table15[[#This Row],[Region 1: Fixed Fee Per Case ($)]]</calculatedColumnFormula>
    </tableColumn>
    <tableColumn id="24" name="Total Cost Per Serving (N+O)/I" dataDxfId="238" dataCellStyle="Currency">
      <calculatedColumnFormula>(Table15[[#This Row],[Commercial Bid Price per case for NOI ($)]]+Table15[[#This Row],[Region 1: Fixed Fee Per Case ($)]])/Table15[[#This Row],['# of CN Servings per case]]</calculatedColumnFormula>
    </tableColumn>
    <tableColumn id="23" name="Total Cost Per Year (S*J)" dataDxfId="237" dataCellStyle="Currency">
      <calculatedColumnFormula>Table15[[#This Row],[Total Cost Per Serving (N+O)/I]]*Table15[[#This Row],[Estimated Servings Annual]]</calculatedColumnFormula>
    </tableColumn>
    <tableColumn id="22" name="NOI Net Cost Per Case (N-M)+P" dataDxfId="236" dataCellStyle="Currency">
      <calculatedColumnFormula>(Table15[[#This Row],[Commercial Bid Price per case for NOI ($)]]-Table15[[#This Row],[Pass-Thru Value per case ($)]])+Table15[[#This Row],[Region 2: Fixed Fee Per Case ($)]]</calculatedColumnFormula>
    </tableColumn>
    <tableColumn id="13" name="Total Cost Per Serving (N+P)/I" dataDxfId="235" dataCellStyle="Currency">
      <calculatedColumnFormula>(Table15[[#This Row],[Commercial Bid Price per case for NOI ($)]]+Table15[[#This Row],[Region 2: Fixed Fee Per Case ($)]])/Table15[[#This Row],['# of CN Servings per case]]</calculatedColumnFormula>
    </tableColumn>
    <tableColumn id="14" name="Total Cost Per Year (V*J)" dataDxfId="234" dataCellStyle="Currency">
      <calculatedColumnFormula>Table15[[#This Row],[Total Cost Per Serving (N+P)/I]]*Table15[[#This Row],[Estimated Servings Annual]]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156" displayName="Table156" ref="A2:W72" totalsRowShown="0" headerRowDxfId="233" dataDxfId="232" tableBorderDxfId="231">
  <autoFilter ref="A2:W72"/>
  <tableColumns count="23">
    <tableColumn id="15" name="Category" dataDxfId="230"/>
    <tableColumn id="1" name="Product Spec #" dataDxfId="229"/>
    <tableColumn id="2" name="Manufacturer (max 2 per manufactuerer)" dataDxfId="228"/>
    <tableColumn id="19" name="Is product available through the NOI VPT Method? (Y/N)" dataDxfId="227"/>
    <tableColumn id="3" name="Product Description" dataDxfId="226"/>
    <tableColumn id="17" name="Manufacturer Product Code" dataDxfId="225"/>
    <tableColumn id="4" name="Distributor Product Code" dataDxfId="224"/>
    <tableColumn id="5" name="Vendor Pack" dataDxfId="223"/>
    <tableColumn id="6" name="# of CN Servings per case" dataDxfId="222"/>
    <tableColumn id="7" name="Estimated Servings Annual" dataDxfId="221" dataCellStyle="Comma"/>
    <tableColumn id="8" name="USDA Material Code" dataDxfId="220"/>
    <tableColumn id="9" name="Pounds of DF Needed per Case (#)" dataDxfId="219"/>
    <tableColumn id="10" name="Pass-Thru Value per case ($)" dataDxfId="218"/>
    <tableColumn id="11" name="Commercial Bid Price per case for NOI ($)" dataDxfId="217"/>
    <tableColumn id="20" name="Region 1: Fixed Fee Per Case ($)" dataDxfId="216"/>
    <tableColumn id="12" name="Region 2: Fixed Fee Per Case ($)" dataDxfId="215"/>
    <tableColumn id="16" name="Special Order Item? (Y/N)" dataDxfId="214"/>
    <tableColumn id="18" name="NOI Net Cost Per Case (N-M)+O" dataDxfId="213" dataCellStyle="Currency">
      <calculatedColumnFormula>(Table156[[#This Row],[Commercial Bid Price per case for NOI ($)]]-Table156[[#This Row],[Pass-Thru Value per case ($)]])+Table156[[#This Row],[Region 1: Fixed Fee Per Case ($)]]</calculatedColumnFormula>
    </tableColumn>
    <tableColumn id="23" name="Total Cost Per Serving (N+O)/I" dataDxfId="212" dataCellStyle="Currency">
      <calculatedColumnFormula>(Table156[[#This Row],[Commercial Bid Price per case for NOI ($)]]+Table156[[#This Row],[Region 1: Fixed Fee Per Case ($)]])/Table156[[#This Row],['# of CN Servings per case]]</calculatedColumnFormula>
    </tableColumn>
    <tableColumn id="22" name="Total Cost Per Year (S*J)" dataDxfId="211" dataCellStyle="Currency">
      <calculatedColumnFormula>Table156[[#This Row],[Total Cost Per Serving (N+O)/I]]*Table156[[#This Row],[Estimated Servings Annual]]</calculatedColumnFormula>
    </tableColumn>
    <tableColumn id="21" name="NOI Net Cost Per Case (N-M)+P" dataDxfId="210" dataCellStyle="Currency">
      <calculatedColumnFormula>(Table156[[#This Row],[Commercial Bid Price per case for NOI ($)]]-Table156[[#This Row],[Pass-Thru Value per case ($)]])+Table156[[#This Row],[Region 2: Fixed Fee Per Case ($)]]</calculatedColumnFormula>
    </tableColumn>
    <tableColumn id="13" name="Total Cost Per Serving (N+P)/I" dataDxfId="209" dataCellStyle="Currency">
      <calculatedColumnFormula>(Table156[[#This Row],[Commercial Bid Price per case for NOI ($)]]+Table156[[#This Row],[Region 2: Fixed Fee Per Case ($)]])/Table156[[#This Row],['# of CN Servings per case]]</calculatedColumnFormula>
    </tableColumn>
    <tableColumn id="14" name="Total Cost Per Year (V*J)" dataDxfId="208" dataCellStyle="Currency">
      <calculatedColumnFormula>Table156[[#This Row],[Total Cost Per Serving (N+P)/I]]*Table156[[#This Row],[Estimated Servings Annual]]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6" name="Table1567" displayName="Table1567" ref="A2:W34" totalsRowShown="0" headerRowDxfId="207" dataDxfId="206" tableBorderDxfId="205">
  <autoFilter ref="A2:W34"/>
  <tableColumns count="23">
    <tableColumn id="15" name="Category" dataDxfId="204"/>
    <tableColumn id="1" name="Product Spec #" dataDxfId="203"/>
    <tableColumn id="2" name="Manufacturer (max 2 per manufactuerer)" dataDxfId="202"/>
    <tableColumn id="19" name="Is product available through the NOI VPT Method? (Y/N)" dataDxfId="201"/>
    <tableColumn id="3" name="Product Description" dataDxfId="200"/>
    <tableColumn id="17" name="Manufacturer Product Code" dataDxfId="199"/>
    <tableColumn id="4" name="Distributor Product Code" dataDxfId="198"/>
    <tableColumn id="5" name="Vendor Pack" dataDxfId="197"/>
    <tableColumn id="6" name="# of CN Servings per case" dataDxfId="196"/>
    <tableColumn id="7" name="Estimated Servings Annual" dataDxfId="195" dataCellStyle="Comma"/>
    <tableColumn id="8" name="USDA Material Code" dataDxfId="194"/>
    <tableColumn id="9" name="Pounds of DF Needed per Case (#)" dataDxfId="193"/>
    <tableColumn id="10" name="Pass-Thru Value per case ($)" dataDxfId="192"/>
    <tableColumn id="11" name="Commercial Bid Price per case for NOI ($)" dataDxfId="191"/>
    <tableColumn id="20" name="Region 1: Fixed Fee Per Case ($)" dataDxfId="190"/>
    <tableColumn id="12" name="Region 2: Fixed Fee Per Case ($)" dataDxfId="189"/>
    <tableColumn id="16" name="Special Order Item? (Y/N)" dataDxfId="188"/>
    <tableColumn id="18" name="NOI Net Cost Per Case (N-M)+O" dataDxfId="187" dataCellStyle="Currency">
      <calculatedColumnFormula>(Table1567[[#This Row],[Commercial Bid Price per case for NOI ($)]]-Table1567[[#This Row],[Pass-Thru Value per case ($)]])+Table1567[[#This Row],[Region 1: Fixed Fee Per Case ($)]]</calculatedColumnFormula>
    </tableColumn>
    <tableColumn id="23" name="Total Cost Per Serving (N+O)/I" dataDxfId="186" dataCellStyle="Currency">
      <calculatedColumnFormula>(Table1567[[#This Row],[Commercial Bid Price per case for NOI ($)]]+Table1567[[#This Row],[Region 1: Fixed Fee Per Case ($)]])/Table1567[[#This Row],['# of CN Servings per case]]</calculatedColumnFormula>
    </tableColumn>
    <tableColumn id="22" name="Total Cost Per Year (S*J)" dataDxfId="185" dataCellStyle="Currency">
      <calculatedColumnFormula>Table1567[[#This Row],[Total Cost Per Serving (N+O)/I]]*Table1567[[#This Row],[Estimated Servings Annual]]</calculatedColumnFormula>
    </tableColumn>
    <tableColumn id="21" name="NOI Net Cost Per Case (N-M)+P" dataDxfId="184" dataCellStyle="Currency">
      <calculatedColumnFormula>(Table1567[[#This Row],[Commercial Bid Price per case for NOI ($)]]-Table1567[[#This Row],[Pass-Thru Value per case ($)]])+Table1567[[#This Row],[Region 2: Fixed Fee Per Case ($)]]</calculatedColumnFormula>
    </tableColumn>
    <tableColumn id="13" name="Total Cost Per Serving (N+P)/I" dataDxfId="183" dataCellStyle="Currency">
      <calculatedColumnFormula>(Table1567[[#This Row],[Commercial Bid Price per case for NOI ($)]]+Table1567[[#This Row],[Region 2: Fixed Fee Per Case ($)]])/Table1567[[#This Row],['# of CN Servings per case]]</calculatedColumnFormula>
    </tableColumn>
    <tableColumn id="14" name="Total Cost Per Year (V*J)" dataDxfId="182" dataCellStyle="Currency">
      <calculatedColumnFormula>Table1567[[#This Row],[Total Cost Per Serving (N+P)/I]]*Table1567[[#This Row],[Estimated Servings Annual]]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7" name="Table1568" displayName="Table1568" ref="A2:W42" totalsRowShown="0" headerRowDxfId="181" dataDxfId="180" tableBorderDxfId="179">
  <autoFilter ref="A2:W42"/>
  <tableColumns count="23">
    <tableColumn id="15" name="Category" dataDxfId="178"/>
    <tableColumn id="1" name="Product Spec #" dataDxfId="177"/>
    <tableColumn id="2" name="Manufacturer (max 2 per manufactuerer)" dataDxfId="176"/>
    <tableColumn id="19" name="Is product available through the NOI VPT Method? (Y/N)" dataDxfId="175"/>
    <tableColumn id="3" name="Product Description" dataDxfId="174"/>
    <tableColumn id="17" name="Manufacturer Product Code" dataDxfId="173"/>
    <tableColumn id="4" name="Distributor Product Code" dataDxfId="172"/>
    <tableColumn id="5" name="Vendor Pack" dataDxfId="171"/>
    <tableColumn id="6" name="# of CN Servings per case" dataDxfId="170"/>
    <tableColumn id="7" name="Estimated Servings Annual" dataDxfId="169" dataCellStyle="Comma"/>
    <tableColumn id="8" name="USDA Material Code" dataDxfId="168"/>
    <tableColumn id="9" name="Pounds of DF Needed per Case (#)" dataDxfId="167"/>
    <tableColumn id="10" name="Pass-Thru Value per case ($)" dataDxfId="166"/>
    <tableColumn id="11" name="Commercial Bid Price per case for NOI ($)" dataDxfId="165"/>
    <tableColumn id="20" name="Region 1: Fixed Fee Per Case ($)" dataDxfId="164"/>
    <tableColumn id="12" name="Region 2: Fixed Fee Per Case ($)" dataDxfId="163"/>
    <tableColumn id="16" name="Special Order Item? (Y/N)" dataDxfId="162"/>
    <tableColumn id="18" name="NOI Net Cost Per Case (N-M)+O" dataDxfId="161" dataCellStyle="Currency">
      <calculatedColumnFormula>(Table1568[[#This Row],[Commercial Bid Price per case for NOI ($)]]-Table1568[[#This Row],[Pass-Thru Value per case ($)]])+Table1568[[#This Row],[Region 1: Fixed Fee Per Case ($)]]</calculatedColumnFormula>
    </tableColumn>
    <tableColumn id="23" name="Total Cost Per Serving (N+O)/I" dataDxfId="160" dataCellStyle="Currency">
      <calculatedColumnFormula>(Table1568[[#This Row],[Commercial Bid Price per case for NOI ($)]]+Table1568[[#This Row],[Region 1: Fixed Fee Per Case ($)]])/Table1568[[#This Row],['# of CN Servings per case]]</calculatedColumnFormula>
    </tableColumn>
    <tableColumn id="22" name="Total Cost Per Year (S*J)" dataDxfId="159" dataCellStyle="Currency">
      <calculatedColumnFormula>Table1568[[#This Row],[Total Cost Per Serving (N+O)/I]]*Table1568[[#This Row],[Estimated Servings Annual]]</calculatedColumnFormula>
    </tableColumn>
    <tableColumn id="21" name="NOI Net Cost Per Case (N-M)+P" dataDxfId="158" dataCellStyle="Currency">
      <calculatedColumnFormula>(Table1568[[#This Row],[Commercial Bid Price per case for NOI ($)]]-Table1568[[#This Row],[Pass-Thru Value per case ($)]])+Table1568[[#This Row],[Region 2: Fixed Fee Per Case ($)]]</calculatedColumnFormula>
    </tableColumn>
    <tableColumn id="13" name="Total Cost Per Serving (N+P)/I" dataDxfId="157" dataCellStyle="Currency">
      <calculatedColumnFormula>(Table1568[[#This Row],[Commercial Bid Price per case for NOI ($)]]+Table1568[[#This Row],[Region 2: Fixed Fee Per Case ($)]])/Table1568[[#This Row],['# of CN Servings per case]]</calculatedColumnFormula>
    </tableColumn>
    <tableColumn id="14" name="Total Cost Per Year (V*J)" dataDxfId="156" dataCellStyle="Currency">
      <calculatedColumnFormula>Table1568[[#This Row],[Total Cost Per Serving (N+P)/I]]*Table1568[[#This Row],[Estimated Servings Annual]]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0" name="Table156811" displayName="Table156811" ref="A2:W20" totalsRowShown="0" headerRowDxfId="155" dataDxfId="154" tableBorderDxfId="153">
  <autoFilter ref="A2:W20"/>
  <tableColumns count="23">
    <tableColumn id="15" name="Category" dataDxfId="152"/>
    <tableColumn id="1" name="Product Spec #" dataDxfId="151"/>
    <tableColumn id="2" name="Manufacturer (max 2 items per manufactuerer)" dataDxfId="150"/>
    <tableColumn id="19" name="Is product available through the NOI VPT Method? (Y/N)" dataDxfId="149"/>
    <tableColumn id="3" name="Product Description" dataDxfId="148"/>
    <tableColumn id="17" name="Manufacturer Product Code" dataDxfId="147"/>
    <tableColumn id="4" name="Distributor Product Code" dataDxfId="146"/>
    <tableColumn id="5" name="Vendor Pack" dataDxfId="145"/>
    <tableColumn id="6" name="# of CN Servings per case" dataDxfId="144"/>
    <tableColumn id="7" name="Estimated Servings Annual" dataDxfId="143" dataCellStyle="Comma"/>
    <tableColumn id="8" name="USDA Material Code" dataDxfId="142"/>
    <tableColumn id="9" name="Pounds of DF Needed per Case (#)" dataDxfId="141"/>
    <tableColumn id="10" name="Pass-Thru Value per case ($)" dataDxfId="140"/>
    <tableColumn id="11" name="Commercial Bid Price per case for NOI ($)" dataDxfId="139"/>
    <tableColumn id="20" name="Region 1: Fixed Fee Per Case ($)" dataDxfId="138"/>
    <tableColumn id="12" name="Region 2: Fixed Fee Per Case ($)" dataDxfId="137"/>
    <tableColumn id="16" name="Special Order Item? (Y/N)" dataDxfId="136"/>
    <tableColumn id="18" name="NOI Net Cost Per Case (N-M)+O" dataDxfId="135" dataCellStyle="Currency">
      <calculatedColumnFormula>(Table156811[[#This Row],[Commercial Bid Price per case for NOI ($)]]-Table156811[[#This Row],[Pass-Thru Value per case ($)]])+Table156811[[#This Row],[Region 1: Fixed Fee Per Case ($)]]</calculatedColumnFormula>
    </tableColumn>
    <tableColumn id="23" name="Total Cost Per Serving (N+O)/I" dataDxfId="134" dataCellStyle="Currency">
      <calculatedColumnFormula>(Table156811[[#This Row],[Commercial Bid Price per case for NOI ($)]]+Table156811[[#This Row],[Region 1: Fixed Fee Per Case ($)]])/Table156811[[#This Row],['# of CN Servings per case]]</calculatedColumnFormula>
    </tableColumn>
    <tableColumn id="22" name="Total Cost Per Year (S*J)" dataDxfId="133" dataCellStyle="Currency">
      <calculatedColumnFormula>Table156811[[#This Row],[Total Cost Per Serving (N+O)/I]]*Table156811[[#This Row],[Estimated Servings Annual]]</calculatedColumnFormula>
    </tableColumn>
    <tableColumn id="21" name="NOI Net Cost Per Case (N-M)+P" dataDxfId="132" dataCellStyle="Currency">
      <calculatedColumnFormula>(Table156811[[#This Row],[Commercial Bid Price per case for NOI ($)]]-Table156811[[#This Row],[Pass-Thru Value per case ($)]])+Table156811[[#This Row],[Region 2: Fixed Fee Per Case ($)]]</calculatedColumnFormula>
    </tableColumn>
    <tableColumn id="13" name="Total Cost Per Serving (N+P)/I" dataDxfId="131" dataCellStyle="Currency">
      <calculatedColumnFormula>(Table156811[[#This Row],[Commercial Bid Price per case for NOI ($)]]+Table156811[[#This Row],[Region 2: Fixed Fee Per Case ($)]])/Table156811[[#This Row],['# of CN Servings per case]]</calculatedColumnFormula>
    </tableColumn>
    <tableColumn id="14" name="Total Cost Per Year (V*J)" dataDxfId="130" dataCellStyle="Currency">
      <calculatedColumnFormula>Table156811[[#This Row],[Total Cost Per Serving (N+P)/I]]*Table156811[[#This Row],[Estimated Servings Annual]]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9" name="Table156810" displayName="Table156810" ref="A2:W164" totalsRowShown="0" headerRowDxfId="129" dataDxfId="128" tableBorderDxfId="127">
  <autoFilter ref="A2:W164"/>
  <tableColumns count="23">
    <tableColumn id="15" name="Category" dataDxfId="126"/>
    <tableColumn id="1" name="Product Spec #" dataDxfId="125"/>
    <tableColumn id="2" name="Manufacturer (max 2 per manufactuerer)" dataDxfId="124"/>
    <tableColumn id="19" name="Is product available through the NOI VPT Method? (Y/N)" dataDxfId="123"/>
    <tableColumn id="3" name="Product Description" dataDxfId="122"/>
    <tableColumn id="17" name="Manufacturer Product Code" dataDxfId="121"/>
    <tableColumn id="4" name="Distributor Product Code" dataDxfId="120"/>
    <tableColumn id="5" name="Vendor Pack" dataDxfId="119"/>
    <tableColumn id="6" name="# of CN Servings per case" dataDxfId="118"/>
    <tableColumn id="7" name="Estimated Servings Annual" dataDxfId="117" dataCellStyle="Comma"/>
    <tableColumn id="8" name="USDA Material Code" dataDxfId="116"/>
    <tableColumn id="9" name="Pounds of DF Needed per Case (#)" dataDxfId="115"/>
    <tableColumn id="10" name="Pass-Thru Value per case ($)" dataDxfId="114"/>
    <tableColumn id="11" name="Commercial Bid Price per case for NOI ($)" dataDxfId="113"/>
    <tableColumn id="20" name="Region 1: Fixed Fee Per Case ($)" dataDxfId="112"/>
    <tableColumn id="12" name="Region 2: Fixed Fee Per Case ($)" dataDxfId="111"/>
    <tableColumn id="16" name="Special Order Item? (Y/N)" dataDxfId="110"/>
    <tableColumn id="18" name="NOI Net Cost Per Case (N-M)+O" dataDxfId="109" dataCellStyle="Currency">
      <calculatedColumnFormula>(Table156810[[#This Row],[Commercial Bid Price per case for NOI ($)]]-Table156810[[#This Row],[Pass-Thru Value per case ($)]])+Table156810[[#This Row],[Region 1: Fixed Fee Per Case ($)]]</calculatedColumnFormula>
    </tableColumn>
    <tableColumn id="23" name="Total Cost Per Serving (N+O)/I" dataDxfId="108" dataCellStyle="Currency">
      <calculatedColumnFormula>(Table156810[[#This Row],[Commercial Bid Price per case for NOI ($)]]+Table156810[[#This Row],[Region 1: Fixed Fee Per Case ($)]])/Table156810[[#This Row],['# of CN Servings per case]]</calculatedColumnFormula>
    </tableColumn>
    <tableColumn id="22" name="Total Cost Per Year (S*J)" dataDxfId="107" dataCellStyle="Currency">
      <calculatedColumnFormula>Table156810[[#This Row],[Total Cost Per Serving (N+O)/I]]*Table156810[[#This Row],[Estimated Servings Annual]]</calculatedColumnFormula>
    </tableColumn>
    <tableColumn id="21" name="NOI Net Cost Per Case (N-M)+P" dataDxfId="106" dataCellStyle="Currency">
      <calculatedColumnFormula>(Table156810[[#This Row],[Commercial Bid Price per case for NOI ($)]]-Table156810[[#This Row],[Pass-Thru Value per case ($)]])+Table156810[[#This Row],[Region 2: Fixed Fee Per Case ($)]]</calculatedColumnFormula>
    </tableColumn>
    <tableColumn id="13" name="Total Cost Per Serving (N+P)/I" dataDxfId="105" dataCellStyle="Currency">
      <calculatedColumnFormula>(Table156810[[#This Row],[Commercial Bid Price per case for NOI ($)]]+Table156810[[#This Row],[Region 2: Fixed Fee Per Case ($)]])/Table156810[[#This Row],['# of CN Servings per case]]</calculatedColumnFormula>
    </tableColumn>
    <tableColumn id="14" name="Total Cost Per Year (V*J)" dataDxfId="104" dataCellStyle="Currency">
      <calculatedColumnFormula>Table156810[[#This Row],[Total Cost Per Serving (N+P)/I]]*Table156810[[#This Row],[Estimated Servings Annual]]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8" name="Table1569" displayName="Table1569" ref="A2:W26" totalsRowShown="0" headerRowDxfId="103" dataDxfId="102" tableBorderDxfId="101">
  <autoFilter ref="A2:W26"/>
  <tableColumns count="23">
    <tableColumn id="15" name="Category" dataDxfId="100"/>
    <tableColumn id="1" name="Product Spec #" dataDxfId="99"/>
    <tableColumn id="2" name="Manufacturer (max 2 per manufactuerer)" dataDxfId="98"/>
    <tableColumn id="19" name="Is product available through the NOI VPT Method? (Y/N)" dataDxfId="97"/>
    <tableColumn id="3" name="Product Description" dataDxfId="96"/>
    <tableColumn id="17" name="Manufacturer Product Code" dataDxfId="95"/>
    <tableColumn id="4" name="Distributor Product Code" dataDxfId="94"/>
    <tableColumn id="5" name="Vendor Pack" dataDxfId="93"/>
    <tableColumn id="6" name="# of CN Servings per case" dataDxfId="92"/>
    <tableColumn id="7" name="Estimated Servings Annual" dataDxfId="91" dataCellStyle="Comma"/>
    <tableColumn id="8" name="USDA Material Code" dataDxfId="90"/>
    <tableColumn id="9" name="Pounds of DF Needed per Case (#)" dataDxfId="89"/>
    <tableColumn id="10" name="Pass-Thru Value per case ($)" dataDxfId="88"/>
    <tableColumn id="11" name="Commercial Bid Price per case for NOI ($)" dataDxfId="87"/>
    <tableColumn id="20" name="Region 1: Fixed Fee Per Case ($)" dataDxfId="86"/>
    <tableColumn id="12" name="Region 2: Fixed Fee Per Case ($)" dataDxfId="85"/>
    <tableColumn id="16" name="Special Order Item? (Y/N)" dataDxfId="84"/>
    <tableColumn id="18" name="NOI Net Cost Per Case (N-M)+O" dataDxfId="83" dataCellStyle="Currency">
      <calculatedColumnFormula>(Table1569[[#This Row],[Commercial Bid Price per case for NOI ($)]]-Table1569[[#This Row],[Pass-Thru Value per case ($)]])+Table1569[[#This Row],[Region 1: Fixed Fee Per Case ($)]]</calculatedColumnFormula>
    </tableColumn>
    <tableColumn id="23" name="Total Cost Per Serving (N+O)/I" dataDxfId="82" dataCellStyle="Currency">
      <calculatedColumnFormula>(Table1569[[#This Row],[Commercial Bid Price per case for NOI ($)]]+Table1569[[#This Row],[Region 1: Fixed Fee Per Case ($)]])/Table1569[[#This Row],['# of CN Servings per case]]</calculatedColumnFormula>
    </tableColumn>
    <tableColumn id="22" name="Total Cost Per Year (S*J)" dataDxfId="81" dataCellStyle="Currency">
      <calculatedColumnFormula>Table1569[[#This Row],[Total Cost Per Serving (N+O)/I]]*Table1569[[#This Row],[Estimated Servings Annual]]</calculatedColumnFormula>
    </tableColumn>
    <tableColumn id="21" name="NOI Net Cost Per Case (N-M)+P" dataDxfId="80" dataCellStyle="Currency">
      <calculatedColumnFormula>(Table1569[[#This Row],[Commercial Bid Price per case for NOI ($)]]-Table1569[[#This Row],[Pass-Thru Value per case ($)]])+Table1569[[#This Row],[Region 2: Fixed Fee Per Case ($)]]</calculatedColumnFormula>
    </tableColumn>
    <tableColumn id="13" name="Total Cost Per Serving (N+P)/I" dataDxfId="79" dataCellStyle="Currency">
      <calculatedColumnFormula>(Table1569[[#This Row],[Commercial Bid Price per case for NOI ($)]]+Table1569[[#This Row],[Region 2: Fixed Fee Per Case ($)]])/Table1569[[#This Row],['# of CN Servings per case]]</calculatedColumnFormula>
    </tableColumn>
    <tableColumn id="14" name="Total Cost Per Year (V*J)" dataDxfId="78" dataCellStyle="Currency">
      <calculatedColumnFormula>Table1569[[#This Row],[Total Cost Per Serving (N+P)/I]]*Table1569[[#This Row],[Estimated Servings Annual]]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abSelected="1" workbookViewId="0">
      <selection activeCell="A15" sqref="A15"/>
    </sheetView>
  </sheetViews>
  <sheetFormatPr defaultRowHeight="15" x14ac:dyDescent="0.25"/>
  <cols>
    <col min="1" max="1" width="109.5703125" style="49" bestFit="1" customWidth="1"/>
  </cols>
  <sheetData>
    <row r="1" spans="1:1" ht="15.75" thickBot="1" x14ac:dyDescent="0.3">
      <c r="A1" s="47" t="s">
        <v>97</v>
      </c>
    </row>
    <row r="2" spans="1:1" ht="15.75" thickBot="1" x14ac:dyDescent="0.3">
      <c r="A2" s="83" t="s">
        <v>150</v>
      </c>
    </row>
    <row r="3" spans="1:1" x14ac:dyDescent="0.25">
      <c r="A3" s="47" t="s">
        <v>96</v>
      </c>
    </row>
    <row r="5" spans="1:1" x14ac:dyDescent="0.25">
      <c r="A5" s="48" t="s">
        <v>95</v>
      </c>
    </row>
    <row r="6" spans="1:1" x14ac:dyDescent="0.25">
      <c r="A6" s="49" t="s">
        <v>161</v>
      </c>
    </row>
    <row r="7" spans="1:1" ht="30" x14ac:dyDescent="0.25">
      <c r="A7" s="49" t="s">
        <v>98</v>
      </c>
    </row>
    <row r="8" spans="1:1" x14ac:dyDescent="0.25">
      <c r="A8" s="49" t="s">
        <v>160</v>
      </c>
    </row>
    <row r="10" spans="1:1" x14ac:dyDescent="0.25">
      <c r="A10" s="48" t="s">
        <v>148</v>
      </c>
    </row>
    <row r="11" spans="1:1" ht="45" x14ac:dyDescent="0.25">
      <c r="A11" s="48" t="s">
        <v>183</v>
      </c>
    </row>
    <row r="12" spans="1:1" x14ac:dyDescent="0.25">
      <c r="A12" s="48"/>
    </row>
    <row r="13" spans="1:1" ht="30" x14ac:dyDescent="0.25">
      <c r="A13" s="50" t="s">
        <v>159</v>
      </c>
    </row>
    <row r="14" spans="1:1" x14ac:dyDescent="0.25">
      <c r="A14" s="49" t="s">
        <v>179</v>
      </c>
    </row>
    <row r="15" spans="1:1" x14ac:dyDescent="0.25">
      <c r="A15" s="49" t="s">
        <v>178</v>
      </c>
    </row>
    <row r="16" spans="1:1" x14ac:dyDescent="0.25">
      <c r="A16" s="49" t="s">
        <v>177</v>
      </c>
    </row>
    <row r="17" spans="1:1" x14ac:dyDescent="0.25">
      <c r="A17" s="49" t="s">
        <v>176</v>
      </c>
    </row>
    <row r="18" spans="1:1" x14ac:dyDescent="0.25">
      <c r="A18" s="49" t="s">
        <v>181</v>
      </c>
    </row>
    <row r="19" spans="1:1" x14ac:dyDescent="0.25">
      <c r="A19" s="49" t="s">
        <v>182</v>
      </c>
    </row>
    <row r="20" spans="1:1" ht="30" x14ac:dyDescent="0.25">
      <c r="A20" s="49" t="s">
        <v>158</v>
      </c>
    </row>
    <row r="21" spans="1:1" x14ac:dyDescent="0.25">
      <c r="A21" s="49" t="s">
        <v>157</v>
      </c>
    </row>
    <row r="22" spans="1:1" x14ac:dyDescent="0.25">
      <c r="A22" s="49" t="s">
        <v>156</v>
      </c>
    </row>
    <row r="23" spans="1:1" x14ac:dyDescent="0.25">
      <c r="A23" s="49" t="s">
        <v>155</v>
      </c>
    </row>
    <row r="24" spans="1:1" x14ac:dyDescent="0.25">
      <c r="A24" s="50" t="s">
        <v>173</v>
      </c>
    </row>
    <row r="25" spans="1:1" x14ac:dyDescent="0.25">
      <c r="A25" s="50" t="s">
        <v>175</v>
      </c>
    </row>
    <row r="26" spans="1:1" x14ac:dyDescent="0.25">
      <c r="A26" s="49" t="s">
        <v>174</v>
      </c>
    </row>
    <row r="27" spans="1:1" x14ac:dyDescent="0.25">
      <c r="A27" s="49" t="s">
        <v>99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V3" sqref="V3"/>
    </sheetView>
  </sheetViews>
  <sheetFormatPr defaultRowHeight="15" x14ac:dyDescent="0.25"/>
  <cols>
    <col min="1" max="1" width="13.42578125" bestFit="1" customWidth="1"/>
    <col min="2" max="2" width="31.140625" bestFit="1" customWidth="1"/>
    <col min="3" max="3" width="22" bestFit="1" customWidth="1"/>
    <col min="4" max="4" width="21" bestFit="1" customWidth="1"/>
    <col min="5" max="5" width="34.7109375" customWidth="1"/>
    <col min="6" max="6" width="15.140625" bestFit="1" customWidth="1"/>
    <col min="7" max="7" width="14.28515625" bestFit="1" customWidth="1"/>
    <col min="8" max="9" width="17.5703125" bestFit="1" customWidth="1"/>
    <col min="10" max="10" width="16.42578125" style="90" bestFit="1" customWidth="1"/>
    <col min="11" max="11" width="22.7109375" bestFit="1" customWidth="1"/>
    <col min="12" max="12" width="19.140625" bestFit="1" customWidth="1"/>
    <col min="13" max="13" width="17.28515625" bestFit="1" customWidth="1"/>
    <col min="14" max="14" width="15.42578125" bestFit="1" customWidth="1"/>
    <col min="15" max="15" width="17.5703125" customWidth="1"/>
    <col min="16" max="16" width="16.42578125" customWidth="1"/>
    <col min="17" max="17" width="18.28515625" bestFit="1" customWidth="1"/>
    <col min="18" max="18" width="16.42578125" customWidth="1"/>
    <col min="19" max="19" width="18" customWidth="1"/>
    <col min="20" max="20" width="15.140625" customWidth="1"/>
    <col min="21" max="21" width="17.28515625" customWidth="1"/>
    <col min="22" max="22" width="17.140625" customWidth="1"/>
    <col min="23" max="23" width="14.85546875" customWidth="1"/>
  </cols>
  <sheetData>
    <row r="1" spans="1:23" x14ac:dyDescent="0.25">
      <c r="D1" s="1" t="s">
        <v>149</v>
      </c>
      <c r="E1" s="137" t="str">
        <f>Instructions!A2</f>
        <v xml:space="preserve"> </v>
      </c>
      <c r="F1" s="137"/>
      <c r="G1" s="137"/>
      <c r="R1" s="134" t="s">
        <v>167</v>
      </c>
      <c r="S1" s="135"/>
      <c r="T1" s="136"/>
      <c r="U1" s="134" t="s">
        <v>168</v>
      </c>
      <c r="V1" s="135"/>
      <c r="W1" s="136"/>
    </row>
    <row r="2" spans="1:23" s="1" customFormat="1" ht="45.75" thickBot="1" x14ac:dyDescent="0.3">
      <c r="A2" s="1" t="s">
        <v>14</v>
      </c>
      <c r="B2" s="1" t="s">
        <v>3</v>
      </c>
      <c r="C2" s="1" t="s">
        <v>23</v>
      </c>
      <c r="D2" s="1" t="s">
        <v>154</v>
      </c>
      <c r="E2" s="1" t="s">
        <v>0</v>
      </c>
      <c r="F2" s="1" t="s">
        <v>4</v>
      </c>
      <c r="G2" s="1" t="s">
        <v>20</v>
      </c>
      <c r="H2" s="1" t="s">
        <v>1</v>
      </c>
      <c r="I2" s="1" t="s">
        <v>5</v>
      </c>
      <c r="J2" s="91" t="s">
        <v>6</v>
      </c>
      <c r="K2" s="1" t="s">
        <v>2</v>
      </c>
      <c r="L2" s="1" t="s">
        <v>21</v>
      </c>
      <c r="M2" s="71" t="s">
        <v>153</v>
      </c>
      <c r="N2" s="1" t="s">
        <v>22</v>
      </c>
      <c r="O2" s="1" t="s">
        <v>165</v>
      </c>
      <c r="P2" s="1" t="s">
        <v>166</v>
      </c>
      <c r="Q2" s="1" t="s">
        <v>19</v>
      </c>
      <c r="R2" s="101" t="s">
        <v>162</v>
      </c>
      <c r="S2" s="102" t="s">
        <v>163</v>
      </c>
      <c r="T2" s="103" t="s">
        <v>171</v>
      </c>
      <c r="U2" s="101" t="s">
        <v>169</v>
      </c>
      <c r="V2" s="102" t="s">
        <v>170</v>
      </c>
      <c r="W2" s="103" t="s">
        <v>172</v>
      </c>
    </row>
    <row r="3" spans="1:23" x14ac:dyDescent="0.25">
      <c r="A3" s="37" t="s">
        <v>73</v>
      </c>
      <c r="B3" s="2" t="s">
        <v>74</v>
      </c>
      <c r="C3" s="3" t="s">
        <v>77</v>
      </c>
      <c r="D3" s="4"/>
      <c r="E3" s="4"/>
      <c r="F3" s="4"/>
      <c r="G3" s="4"/>
      <c r="H3" s="4"/>
      <c r="I3" s="4"/>
      <c r="J3" s="92">
        <v>350000</v>
      </c>
      <c r="K3" s="4"/>
      <c r="L3" s="4"/>
      <c r="M3" s="4"/>
      <c r="N3" s="4"/>
      <c r="O3" s="4"/>
      <c r="P3" s="4"/>
      <c r="Q3" s="109"/>
      <c r="R3" s="104">
        <f>(Table1569[[#This Row],[Commercial Bid Price per case for NOI ($)]]-Table1569[[#This Row],[Pass-Thru Value per case ($)]])+Table1569[[#This Row],[Region 1: Fixed Fee Per Case ($)]]</f>
        <v>0</v>
      </c>
      <c r="S3" s="15" t="e">
        <f>(Table1569[[#This Row],[Commercial Bid Price per case for NOI ($)]]+Table1569[[#This Row],[Region 1: Fixed Fee Per Case ($)]])/Table1569[[#This Row],['# of CN Servings per case]]</f>
        <v>#DIV/0!</v>
      </c>
      <c r="T3" s="115" t="e">
        <f>Table1569[[#This Row],[Total Cost Per Serving (N+O)/I]]*Table1569[[#This Row],[Estimated Servings Annual]]</f>
        <v>#DIV/0!</v>
      </c>
      <c r="U3" s="104">
        <f>(Table1569[[#This Row],[Commercial Bid Price per case for NOI ($)]]-Table1569[[#This Row],[Pass-Thru Value per case ($)]])+Table1569[[#This Row],[Region 2: Fixed Fee Per Case ($)]]</f>
        <v>0</v>
      </c>
      <c r="V3" s="16" t="e">
        <f>(Table1569[[#This Row],[Commercial Bid Price per case for NOI ($)]]+Table1569[[#This Row],[Region 2: Fixed Fee Per Case ($)]])/Table1569[[#This Row],['# of CN Servings per case]]</f>
        <v>#DIV/0!</v>
      </c>
      <c r="W3" s="17" t="e">
        <f>Table1569[[#This Row],[Total Cost Per Serving (N+P)/I]]*Table1569[[#This Row],[Estimated Servings Annual]]</f>
        <v>#DIV/0!</v>
      </c>
    </row>
    <row r="4" spans="1:23" x14ac:dyDescent="0.25">
      <c r="A4" s="38" t="s">
        <v>73</v>
      </c>
      <c r="B4" s="5" t="s">
        <v>74</v>
      </c>
      <c r="C4" s="6" t="s">
        <v>77</v>
      </c>
      <c r="D4" s="7"/>
      <c r="E4" s="7"/>
      <c r="F4" s="7"/>
      <c r="G4" s="7"/>
      <c r="H4" s="7"/>
      <c r="I4" s="7"/>
      <c r="J4" s="93">
        <v>350000</v>
      </c>
      <c r="K4" s="7"/>
      <c r="L4" s="7"/>
      <c r="M4" s="7"/>
      <c r="N4" s="7"/>
      <c r="O4" s="7"/>
      <c r="P4" s="7"/>
      <c r="Q4" s="110"/>
      <c r="R4" s="105">
        <f>(Table1569[[#This Row],[Commercial Bid Price per case for NOI ($)]]-Table1569[[#This Row],[Pass-Thru Value per case ($)]])+Table1569[[#This Row],[Region 1: Fixed Fee Per Case ($)]]</f>
        <v>0</v>
      </c>
      <c r="S4" s="18" t="e">
        <f>(Table1569[[#This Row],[Commercial Bid Price per case for NOI ($)]]+Table1569[[#This Row],[Region 1: Fixed Fee Per Case ($)]])/Table1569[[#This Row],['# of CN Servings per case]]</f>
        <v>#DIV/0!</v>
      </c>
      <c r="T4" s="118" t="e">
        <f>Table1569[[#This Row],[Total Cost Per Serving (N+O)/I]]*Table1569[[#This Row],[Estimated Servings Annual]]</f>
        <v>#DIV/0!</v>
      </c>
      <c r="U4" s="105">
        <f>(Table1569[[#This Row],[Commercial Bid Price per case for NOI ($)]]-Table1569[[#This Row],[Pass-Thru Value per case ($)]])+Table1569[[#This Row],[Region 2: Fixed Fee Per Case ($)]]</f>
        <v>0</v>
      </c>
      <c r="V4" s="19" t="e">
        <f>(Table1569[[#This Row],[Commercial Bid Price per case for NOI ($)]]+Table1569[[#This Row],[Region 2: Fixed Fee Per Case ($)]])/Table1569[[#This Row],['# of CN Servings per case]]</f>
        <v>#DIV/0!</v>
      </c>
      <c r="W4" s="20" t="e">
        <f>Table1569[[#This Row],[Total Cost Per Serving (N+P)/I]]*Table1569[[#This Row],[Estimated Servings Annual]]</f>
        <v>#DIV/0!</v>
      </c>
    </row>
    <row r="5" spans="1:23" x14ac:dyDescent="0.25">
      <c r="A5" s="38" t="s">
        <v>73</v>
      </c>
      <c r="B5" s="5" t="s">
        <v>74</v>
      </c>
      <c r="C5" s="6" t="s">
        <v>78</v>
      </c>
      <c r="D5" s="7"/>
      <c r="E5" s="7"/>
      <c r="F5" s="7"/>
      <c r="G5" s="7"/>
      <c r="H5" s="7"/>
      <c r="I5" s="7"/>
      <c r="J5" s="93">
        <v>350000</v>
      </c>
      <c r="K5" s="7"/>
      <c r="L5" s="7"/>
      <c r="M5" s="7"/>
      <c r="N5" s="7"/>
      <c r="O5" s="7"/>
      <c r="P5" s="7"/>
      <c r="Q5" s="110"/>
      <c r="R5" s="105">
        <f>(Table1569[[#This Row],[Commercial Bid Price per case for NOI ($)]]-Table1569[[#This Row],[Pass-Thru Value per case ($)]])+Table1569[[#This Row],[Region 1: Fixed Fee Per Case ($)]]</f>
        <v>0</v>
      </c>
      <c r="S5" s="18" t="e">
        <f>(Table1569[[#This Row],[Commercial Bid Price per case for NOI ($)]]+Table1569[[#This Row],[Region 1: Fixed Fee Per Case ($)]])/Table1569[[#This Row],['# of CN Servings per case]]</f>
        <v>#DIV/0!</v>
      </c>
      <c r="T5" s="118" t="e">
        <f>Table1569[[#This Row],[Total Cost Per Serving (N+O)/I]]*Table1569[[#This Row],[Estimated Servings Annual]]</f>
        <v>#DIV/0!</v>
      </c>
      <c r="U5" s="105">
        <f>(Table1569[[#This Row],[Commercial Bid Price per case for NOI ($)]]-Table1569[[#This Row],[Pass-Thru Value per case ($)]])+Table1569[[#This Row],[Region 2: Fixed Fee Per Case ($)]]</f>
        <v>0</v>
      </c>
      <c r="V5" s="19" t="e">
        <f>(Table1569[[#This Row],[Commercial Bid Price per case for NOI ($)]]+Table1569[[#This Row],[Region 2: Fixed Fee Per Case ($)]])/Table1569[[#This Row],['# of CN Servings per case]]</f>
        <v>#DIV/0!</v>
      </c>
      <c r="W5" s="20" t="e">
        <f>Table1569[[#This Row],[Total Cost Per Serving (N+P)/I]]*Table1569[[#This Row],[Estimated Servings Annual]]</f>
        <v>#DIV/0!</v>
      </c>
    </row>
    <row r="6" spans="1:23" x14ac:dyDescent="0.25">
      <c r="A6" s="38" t="s">
        <v>73</v>
      </c>
      <c r="B6" s="5" t="s">
        <v>74</v>
      </c>
      <c r="C6" s="6" t="s">
        <v>78</v>
      </c>
      <c r="D6" s="7"/>
      <c r="E6" s="7"/>
      <c r="F6" s="7"/>
      <c r="G6" s="7"/>
      <c r="H6" s="7"/>
      <c r="I6" s="7"/>
      <c r="J6" s="93">
        <v>350000</v>
      </c>
      <c r="K6" s="7"/>
      <c r="L6" s="7"/>
      <c r="M6" s="7"/>
      <c r="N6" s="7"/>
      <c r="O6" s="7"/>
      <c r="P6" s="7"/>
      <c r="Q6" s="110"/>
      <c r="R6" s="105">
        <f>(Table1569[[#This Row],[Commercial Bid Price per case for NOI ($)]]-Table1569[[#This Row],[Pass-Thru Value per case ($)]])+Table1569[[#This Row],[Region 1: Fixed Fee Per Case ($)]]</f>
        <v>0</v>
      </c>
      <c r="S6" s="18" t="e">
        <f>(Table1569[[#This Row],[Commercial Bid Price per case for NOI ($)]]+Table1569[[#This Row],[Region 1: Fixed Fee Per Case ($)]])/Table1569[[#This Row],['# of CN Servings per case]]</f>
        <v>#DIV/0!</v>
      </c>
      <c r="T6" s="118" t="e">
        <f>Table1569[[#This Row],[Total Cost Per Serving (N+O)/I]]*Table1569[[#This Row],[Estimated Servings Annual]]</f>
        <v>#DIV/0!</v>
      </c>
      <c r="U6" s="105">
        <f>(Table1569[[#This Row],[Commercial Bid Price per case for NOI ($)]]-Table1569[[#This Row],[Pass-Thru Value per case ($)]])+Table1569[[#This Row],[Region 2: Fixed Fee Per Case ($)]]</f>
        <v>0</v>
      </c>
      <c r="V6" s="19" t="e">
        <f>(Table1569[[#This Row],[Commercial Bid Price per case for NOI ($)]]+Table1569[[#This Row],[Region 2: Fixed Fee Per Case ($)]])/Table1569[[#This Row],['# of CN Servings per case]]</f>
        <v>#DIV/0!</v>
      </c>
      <c r="W6" s="20" t="e">
        <f>Table1569[[#This Row],[Total Cost Per Serving (N+P)/I]]*Table1569[[#This Row],[Estimated Servings Annual]]</f>
        <v>#DIV/0!</v>
      </c>
    </row>
    <row r="7" spans="1:23" x14ac:dyDescent="0.25">
      <c r="A7" s="38" t="s">
        <v>73</v>
      </c>
      <c r="B7" s="5" t="s">
        <v>74</v>
      </c>
      <c r="C7" s="7" t="s">
        <v>13</v>
      </c>
      <c r="D7" s="7"/>
      <c r="E7" s="7"/>
      <c r="F7" s="7"/>
      <c r="G7" s="7"/>
      <c r="H7" s="7"/>
      <c r="I7" s="7"/>
      <c r="J7" s="93">
        <v>350000</v>
      </c>
      <c r="K7" s="7"/>
      <c r="L7" s="7"/>
      <c r="M7" s="7"/>
      <c r="N7" s="7"/>
      <c r="O7" s="7"/>
      <c r="P7" s="7"/>
      <c r="Q7" s="110"/>
      <c r="R7" s="105">
        <f>(Table1569[[#This Row],[Commercial Bid Price per case for NOI ($)]]-Table1569[[#This Row],[Pass-Thru Value per case ($)]])+Table1569[[#This Row],[Region 1: Fixed Fee Per Case ($)]]</f>
        <v>0</v>
      </c>
      <c r="S7" s="18" t="e">
        <f>(Table1569[[#This Row],[Commercial Bid Price per case for NOI ($)]]+Table1569[[#This Row],[Region 1: Fixed Fee Per Case ($)]])/Table1569[[#This Row],['# of CN Servings per case]]</f>
        <v>#DIV/0!</v>
      </c>
      <c r="T7" s="118" t="e">
        <f>Table1569[[#This Row],[Total Cost Per Serving (N+O)/I]]*Table1569[[#This Row],[Estimated Servings Annual]]</f>
        <v>#DIV/0!</v>
      </c>
      <c r="U7" s="105">
        <f>(Table1569[[#This Row],[Commercial Bid Price per case for NOI ($)]]-Table1569[[#This Row],[Pass-Thru Value per case ($)]])+Table1569[[#This Row],[Region 2: Fixed Fee Per Case ($)]]</f>
        <v>0</v>
      </c>
      <c r="V7" s="19" t="e">
        <f>(Table1569[[#This Row],[Commercial Bid Price per case for NOI ($)]]+Table1569[[#This Row],[Region 2: Fixed Fee Per Case ($)]])/Table1569[[#This Row],['# of CN Servings per case]]</f>
        <v>#DIV/0!</v>
      </c>
      <c r="W7" s="20" t="e">
        <f>Table1569[[#This Row],[Total Cost Per Serving (N+P)/I]]*Table1569[[#This Row],[Estimated Servings Annual]]</f>
        <v>#DIV/0!</v>
      </c>
    </row>
    <row r="8" spans="1:23" x14ac:dyDescent="0.25">
      <c r="A8" s="38" t="s">
        <v>73</v>
      </c>
      <c r="B8" s="5" t="s">
        <v>74</v>
      </c>
      <c r="C8" s="7" t="s">
        <v>13</v>
      </c>
      <c r="D8" s="7"/>
      <c r="E8" s="7"/>
      <c r="F8" s="7"/>
      <c r="G8" s="7"/>
      <c r="H8" s="7"/>
      <c r="I8" s="7"/>
      <c r="J8" s="93">
        <v>350000</v>
      </c>
      <c r="K8" s="7"/>
      <c r="L8" s="7"/>
      <c r="M8" s="7"/>
      <c r="N8" s="7"/>
      <c r="O8" s="7"/>
      <c r="P8" s="7"/>
      <c r="Q8" s="110"/>
      <c r="R8" s="105">
        <f>(Table1569[[#This Row],[Commercial Bid Price per case for NOI ($)]]-Table1569[[#This Row],[Pass-Thru Value per case ($)]])+Table1569[[#This Row],[Region 1: Fixed Fee Per Case ($)]]</f>
        <v>0</v>
      </c>
      <c r="S8" s="18" t="e">
        <f>(Table1569[[#This Row],[Commercial Bid Price per case for NOI ($)]]+Table1569[[#This Row],[Region 1: Fixed Fee Per Case ($)]])/Table1569[[#This Row],['# of CN Servings per case]]</f>
        <v>#DIV/0!</v>
      </c>
      <c r="T8" s="118" t="e">
        <f>Table1569[[#This Row],[Total Cost Per Serving (N+O)/I]]*Table1569[[#This Row],[Estimated Servings Annual]]</f>
        <v>#DIV/0!</v>
      </c>
      <c r="U8" s="105">
        <f>(Table1569[[#This Row],[Commercial Bid Price per case for NOI ($)]]-Table1569[[#This Row],[Pass-Thru Value per case ($)]])+Table1569[[#This Row],[Region 2: Fixed Fee Per Case ($)]]</f>
        <v>0</v>
      </c>
      <c r="V8" s="19" t="e">
        <f>(Table1569[[#This Row],[Commercial Bid Price per case for NOI ($)]]+Table1569[[#This Row],[Region 2: Fixed Fee Per Case ($)]])/Table1569[[#This Row],['# of CN Servings per case]]</f>
        <v>#DIV/0!</v>
      </c>
      <c r="W8" s="20" t="e">
        <f>Table1569[[#This Row],[Total Cost Per Serving (N+P)/I]]*Table1569[[#This Row],[Estimated Servings Annual]]</f>
        <v>#DIV/0!</v>
      </c>
    </row>
    <row r="9" spans="1:23" x14ac:dyDescent="0.25">
      <c r="A9" s="38" t="s">
        <v>73</v>
      </c>
      <c r="B9" s="5" t="s">
        <v>74</v>
      </c>
      <c r="C9" s="7" t="s">
        <v>13</v>
      </c>
      <c r="D9" s="7"/>
      <c r="E9" s="7"/>
      <c r="F9" s="7"/>
      <c r="G9" s="7"/>
      <c r="H9" s="7"/>
      <c r="I9" s="7"/>
      <c r="J9" s="93">
        <v>350000</v>
      </c>
      <c r="K9" s="7"/>
      <c r="L9" s="7"/>
      <c r="M9" s="7"/>
      <c r="N9" s="7"/>
      <c r="O9" s="7"/>
      <c r="P9" s="7"/>
      <c r="Q9" s="110"/>
      <c r="R9" s="105">
        <f>(Table1569[[#This Row],[Commercial Bid Price per case for NOI ($)]]-Table1569[[#This Row],[Pass-Thru Value per case ($)]])+Table1569[[#This Row],[Region 1: Fixed Fee Per Case ($)]]</f>
        <v>0</v>
      </c>
      <c r="S9" s="18" t="e">
        <f>(Table1569[[#This Row],[Commercial Bid Price per case for NOI ($)]]+Table1569[[#This Row],[Region 1: Fixed Fee Per Case ($)]])/Table1569[[#This Row],['# of CN Servings per case]]</f>
        <v>#DIV/0!</v>
      </c>
      <c r="T9" s="118" t="e">
        <f>Table1569[[#This Row],[Total Cost Per Serving (N+O)/I]]*Table1569[[#This Row],[Estimated Servings Annual]]</f>
        <v>#DIV/0!</v>
      </c>
      <c r="U9" s="105">
        <f>(Table1569[[#This Row],[Commercial Bid Price per case for NOI ($)]]-Table1569[[#This Row],[Pass-Thru Value per case ($)]])+Table1569[[#This Row],[Region 2: Fixed Fee Per Case ($)]]</f>
        <v>0</v>
      </c>
      <c r="V9" s="19" t="e">
        <f>(Table1569[[#This Row],[Commercial Bid Price per case for NOI ($)]]+Table1569[[#This Row],[Region 2: Fixed Fee Per Case ($)]])/Table1569[[#This Row],['# of CN Servings per case]]</f>
        <v>#DIV/0!</v>
      </c>
      <c r="W9" s="20" t="e">
        <f>Table1569[[#This Row],[Total Cost Per Serving (N+P)/I]]*Table1569[[#This Row],[Estimated Servings Annual]]</f>
        <v>#DIV/0!</v>
      </c>
    </row>
    <row r="10" spans="1:23" ht="15.75" thickBot="1" x14ac:dyDescent="0.3">
      <c r="A10" s="38" t="s">
        <v>73</v>
      </c>
      <c r="B10" s="8" t="s">
        <v>74</v>
      </c>
      <c r="C10" s="9" t="s">
        <v>13</v>
      </c>
      <c r="D10" s="9"/>
      <c r="E10" s="9"/>
      <c r="F10" s="9"/>
      <c r="G10" s="9"/>
      <c r="H10" s="9"/>
      <c r="I10" s="9"/>
      <c r="J10" s="94">
        <v>350000</v>
      </c>
      <c r="K10" s="9"/>
      <c r="L10" s="9"/>
      <c r="M10" s="9"/>
      <c r="N10" s="9"/>
      <c r="O10" s="9"/>
      <c r="P10" s="9"/>
      <c r="Q10" s="111"/>
      <c r="R10" s="106">
        <f>(Table1569[[#This Row],[Commercial Bid Price per case for NOI ($)]]-Table1569[[#This Row],[Pass-Thru Value per case ($)]])+Table1569[[#This Row],[Region 1: Fixed Fee Per Case ($)]]</f>
        <v>0</v>
      </c>
      <c r="S10" s="21" t="e">
        <f>(Table1569[[#This Row],[Commercial Bid Price per case for NOI ($)]]+Table1569[[#This Row],[Region 1: Fixed Fee Per Case ($)]])/Table1569[[#This Row],['# of CN Servings per case]]</f>
        <v>#DIV/0!</v>
      </c>
      <c r="T10" s="120" t="e">
        <f>Table1569[[#This Row],[Total Cost Per Serving (N+O)/I]]*Table1569[[#This Row],[Estimated Servings Annual]]</f>
        <v>#DIV/0!</v>
      </c>
      <c r="U10" s="106">
        <f>(Table1569[[#This Row],[Commercial Bid Price per case for NOI ($)]]-Table1569[[#This Row],[Pass-Thru Value per case ($)]])+Table1569[[#This Row],[Region 2: Fixed Fee Per Case ($)]]</f>
        <v>0</v>
      </c>
      <c r="V10" s="22" t="e">
        <f>(Table1569[[#This Row],[Commercial Bid Price per case for NOI ($)]]+Table1569[[#This Row],[Region 2: Fixed Fee Per Case ($)]])/Table1569[[#This Row],['# of CN Servings per case]]</f>
        <v>#DIV/0!</v>
      </c>
      <c r="W10" s="23" t="e">
        <f>Table1569[[#This Row],[Total Cost Per Serving (N+P)/I]]*Table1569[[#This Row],[Estimated Servings Annual]]</f>
        <v>#DIV/0!</v>
      </c>
    </row>
    <row r="11" spans="1:23" x14ac:dyDescent="0.25">
      <c r="A11" s="38" t="s">
        <v>73</v>
      </c>
      <c r="B11" s="2" t="s">
        <v>75</v>
      </c>
      <c r="C11" s="3" t="s">
        <v>77</v>
      </c>
      <c r="D11" s="4"/>
      <c r="E11" s="4"/>
      <c r="F11" s="4"/>
      <c r="G11" s="4"/>
      <c r="H11" s="4"/>
      <c r="I11" s="4"/>
      <c r="J11" s="92">
        <v>250000</v>
      </c>
      <c r="K11" s="4"/>
      <c r="L11" s="4"/>
      <c r="M11" s="4"/>
      <c r="N11" s="4"/>
      <c r="O11" s="4"/>
      <c r="P11" s="4"/>
      <c r="Q11" s="109"/>
      <c r="R11" s="104">
        <f>(Table1569[[#This Row],[Commercial Bid Price per case for NOI ($)]]-Table1569[[#This Row],[Pass-Thru Value per case ($)]])+Table1569[[#This Row],[Region 1: Fixed Fee Per Case ($)]]</f>
        <v>0</v>
      </c>
      <c r="S11" s="15" t="e">
        <f>(Table1569[[#This Row],[Commercial Bid Price per case for NOI ($)]]+Table1569[[#This Row],[Region 1: Fixed Fee Per Case ($)]])/Table1569[[#This Row],['# of CN Servings per case]]</f>
        <v>#DIV/0!</v>
      </c>
      <c r="T11" s="115" t="e">
        <f>Table1569[[#This Row],[Total Cost Per Serving (N+O)/I]]*Table1569[[#This Row],[Estimated Servings Annual]]</f>
        <v>#DIV/0!</v>
      </c>
      <c r="U11" s="104">
        <f>(Table1569[[#This Row],[Commercial Bid Price per case for NOI ($)]]-Table1569[[#This Row],[Pass-Thru Value per case ($)]])+Table1569[[#This Row],[Region 2: Fixed Fee Per Case ($)]]</f>
        <v>0</v>
      </c>
      <c r="V11" s="16" t="e">
        <f>(Table1569[[#This Row],[Commercial Bid Price per case for NOI ($)]]+Table1569[[#This Row],[Region 2: Fixed Fee Per Case ($)]])/Table1569[[#This Row],['# of CN Servings per case]]</f>
        <v>#DIV/0!</v>
      </c>
      <c r="W11" s="17" t="e">
        <f>Table1569[[#This Row],[Total Cost Per Serving (N+P)/I]]*Table1569[[#This Row],[Estimated Servings Annual]]</f>
        <v>#DIV/0!</v>
      </c>
    </row>
    <row r="12" spans="1:23" x14ac:dyDescent="0.25">
      <c r="A12" s="38" t="s">
        <v>73</v>
      </c>
      <c r="B12" s="5" t="s">
        <v>75</v>
      </c>
      <c r="C12" s="6" t="s">
        <v>77</v>
      </c>
      <c r="D12" s="7"/>
      <c r="E12" s="7"/>
      <c r="F12" s="7"/>
      <c r="G12" s="7"/>
      <c r="H12" s="7"/>
      <c r="I12" s="7"/>
      <c r="J12" s="93">
        <v>250000</v>
      </c>
      <c r="K12" s="7"/>
      <c r="L12" s="7"/>
      <c r="M12" s="7"/>
      <c r="N12" s="7"/>
      <c r="O12" s="7"/>
      <c r="P12" s="7"/>
      <c r="Q12" s="110"/>
      <c r="R12" s="105">
        <f>(Table1569[[#This Row],[Commercial Bid Price per case for NOI ($)]]-Table1569[[#This Row],[Pass-Thru Value per case ($)]])+Table1569[[#This Row],[Region 1: Fixed Fee Per Case ($)]]</f>
        <v>0</v>
      </c>
      <c r="S12" s="18" t="e">
        <f>(Table1569[[#This Row],[Commercial Bid Price per case for NOI ($)]]+Table1569[[#This Row],[Region 1: Fixed Fee Per Case ($)]])/Table1569[[#This Row],['# of CN Servings per case]]</f>
        <v>#DIV/0!</v>
      </c>
      <c r="T12" s="118" t="e">
        <f>Table1569[[#This Row],[Total Cost Per Serving (N+O)/I]]*Table1569[[#This Row],[Estimated Servings Annual]]</f>
        <v>#DIV/0!</v>
      </c>
      <c r="U12" s="105">
        <f>(Table1569[[#This Row],[Commercial Bid Price per case for NOI ($)]]-Table1569[[#This Row],[Pass-Thru Value per case ($)]])+Table1569[[#This Row],[Region 2: Fixed Fee Per Case ($)]]</f>
        <v>0</v>
      </c>
      <c r="V12" s="19" t="e">
        <f>(Table1569[[#This Row],[Commercial Bid Price per case for NOI ($)]]+Table1569[[#This Row],[Region 2: Fixed Fee Per Case ($)]])/Table1569[[#This Row],['# of CN Servings per case]]</f>
        <v>#DIV/0!</v>
      </c>
      <c r="W12" s="20" t="e">
        <f>Table1569[[#This Row],[Total Cost Per Serving (N+P)/I]]*Table1569[[#This Row],[Estimated Servings Annual]]</f>
        <v>#DIV/0!</v>
      </c>
    </row>
    <row r="13" spans="1:23" x14ac:dyDescent="0.25">
      <c r="A13" s="38" t="s">
        <v>73</v>
      </c>
      <c r="B13" s="5" t="s">
        <v>75</v>
      </c>
      <c r="C13" s="6" t="s">
        <v>78</v>
      </c>
      <c r="D13" s="7"/>
      <c r="E13" s="7"/>
      <c r="F13" s="7"/>
      <c r="G13" s="7"/>
      <c r="H13" s="7"/>
      <c r="I13" s="7"/>
      <c r="J13" s="93">
        <v>250000</v>
      </c>
      <c r="K13" s="7"/>
      <c r="L13" s="7"/>
      <c r="M13" s="7"/>
      <c r="N13" s="7"/>
      <c r="O13" s="7"/>
      <c r="P13" s="7"/>
      <c r="Q13" s="110"/>
      <c r="R13" s="105">
        <f>(Table1569[[#This Row],[Commercial Bid Price per case for NOI ($)]]-Table1569[[#This Row],[Pass-Thru Value per case ($)]])+Table1569[[#This Row],[Region 1: Fixed Fee Per Case ($)]]</f>
        <v>0</v>
      </c>
      <c r="S13" s="18" t="e">
        <f>(Table1569[[#This Row],[Commercial Bid Price per case for NOI ($)]]+Table1569[[#This Row],[Region 1: Fixed Fee Per Case ($)]])/Table1569[[#This Row],['# of CN Servings per case]]</f>
        <v>#DIV/0!</v>
      </c>
      <c r="T13" s="118" t="e">
        <f>Table1569[[#This Row],[Total Cost Per Serving (N+O)/I]]*Table1569[[#This Row],[Estimated Servings Annual]]</f>
        <v>#DIV/0!</v>
      </c>
      <c r="U13" s="105">
        <f>(Table1569[[#This Row],[Commercial Bid Price per case for NOI ($)]]-Table1569[[#This Row],[Pass-Thru Value per case ($)]])+Table1569[[#This Row],[Region 2: Fixed Fee Per Case ($)]]</f>
        <v>0</v>
      </c>
      <c r="V13" s="19" t="e">
        <f>(Table1569[[#This Row],[Commercial Bid Price per case for NOI ($)]]+Table1569[[#This Row],[Region 2: Fixed Fee Per Case ($)]])/Table1569[[#This Row],['# of CN Servings per case]]</f>
        <v>#DIV/0!</v>
      </c>
      <c r="W13" s="20" t="e">
        <f>Table1569[[#This Row],[Total Cost Per Serving (N+P)/I]]*Table1569[[#This Row],[Estimated Servings Annual]]</f>
        <v>#DIV/0!</v>
      </c>
    </row>
    <row r="14" spans="1:23" x14ac:dyDescent="0.25">
      <c r="A14" s="38" t="s">
        <v>73</v>
      </c>
      <c r="B14" s="5" t="s">
        <v>75</v>
      </c>
      <c r="C14" s="6" t="s">
        <v>78</v>
      </c>
      <c r="D14" s="7"/>
      <c r="E14" s="7"/>
      <c r="F14" s="7"/>
      <c r="G14" s="7"/>
      <c r="H14" s="7"/>
      <c r="I14" s="7"/>
      <c r="J14" s="93">
        <v>250000</v>
      </c>
      <c r="K14" s="7"/>
      <c r="L14" s="7"/>
      <c r="M14" s="7"/>
      <c r="N14" s="7"/>
      <c r="O14" s="7"/>
      <c r="P14" s="7"/>
      <c r="Q14" s="110"/>
      <c r="R14" s="105">
        <f>(Table1569[[#This Row],[Commercial Bid Price per case for NOI ($)]]-Table1569[[#This Row],[Pass-Thru Value per case ($)]])+Table1569[[#This Row],[Region 1: Fixed Fee Per Case ($)]]</f>
        <v>0</v>
      </c>
      <c r="S14" s="18" t="e">
        <f>(Table1569[[#This Row],[Commercial Bid Price per case for NOI ($)]]+Table1569[[#This Row],[Region 1: Fixed Fee Per Case ($)]])/Table1569[[#This Row],['# of CN Servings per case]]</f>
        <v>#DIV/0!</v>
      </c>
      <c r="T14" s="118" t="e">
        <f>Table1569[[#This Row],[Total Cost Per Serving (N+O)/I]]*Table1569[[#This Row],[Estimated Servings Annual]]</f>
        <v>#DIV/0!</v>
      </c>
      <c r="U14" s="105">
        <f>(Table1569[[#This Row],[Commercial Bid Price per case for NOI ($)]]-Table1569[[#This Row],[Pass-Thru Value per case ($)]])+Table1569[[#This Row],[Region 2: Fixed Fee Per Case ($)]]</f>
        <v>0</v>
      </c>
      <c r="V14" s="19" t="e">
        <f>(Table1569[[#This Row],[Commercial Bid Price per case for NOI ($)]]+Table1569[[#This Row],[Region 2: Fixed Fee Per Case ($)]])/Table1569[[#This Row],['# of CN Servings per case]]</f>
        <v>#DIV/0!</v>
      </c>
      <c r="W14" s="20" t="e">
        <f>Table1569[[#This Row],[Total Cost Per Serving (N+P)/I]]*Table1569[[#This Row],[Estimated Servings Annual]]</f>
        <v>#DIV/0!</v>
      </c>
    </row>
    <row r="15" spans="1:23" x14ac:dyDescent="0.25">
      <c r="A15" s="38" t="s">
        <v>73</v>
      </c>
      <c r="B15" s="5" t="s">
        <v>75</v>
      </c>
      <c r="C15" s="7" t="s">
        <v>13</v>
      </c>
      <c r="D15" s="7"/>
      <c r="E15" s="7"/>
      <c r="F15" s="7"/>
      <c r="G15" s="7"/>
      <c r="H15" s="7"/>
      <c r="I15" s="7"/>
      <c r="J15" s="93">
        <v>250000</v>
      </c>
      <c r="K15" s="7"/>
      <c r="L15" s="7"/>
      <c r="M15" s="7"/>
      <c r="N15" s="7"/>
      <c r="O15" s="7"/>
      <c r="P15" s="7"/>
      <c r="Q15" s="110"/>
      <c r="R15" s="105">
        <f>(Table1569[[#This Row],[Commercial Bid Price per case for NOI ($)]]-Table1569[[#This Row],[Pass-Thru Value per case ($)]])+Table1569[[#This Row],[Region 1: Fixed Fee Per Case ($)]]</f>
        <v>0</v>
      </c>
      <c r="S15" s="18" t="e">
        <f>(Table1569[[#This Row],[Commercial Bid Price per case for NOI ($)]]+Table1569[[#This Row],[Region 1: Fixed Fee Per Case ($)]])/Table1569[[#This Row],['# of CN Servings per case]]</f>
        <v>#DIV/0!</v>
      </c>
      <c r="T15" s="118" t="e">
        <f>Table1569[[#This Row],[Total Cost Per Serving (N+O)/I]]*Table1569[[#This Row],[Estimated Servings Annual]]</f>
        <v>#DIV/0!</v>
      </c>
      <c r="U15" s="105">
        <f>(Table1569[[#This Row],[Commercial Bid Price per case for NOI ($)]]-Table1569[[#This Row],[Pass-Thru Value per case ($)]])+Table1569[[#This Row],[Region 2: Fixed Fee Per Case ($)]]</f>
        <v>0</v>
      </c>
      <c r="V15" s="19" t="e">
        <f>(Table1569[[#This Row],[Commercial Bid Price per case for NOI ($)]]+Table1569[[#This Row],[Region 2: Fixed Fee Per Case ($)]])/Table1569[[#This Row],['# of CN Servings per case]]</f>
        <v>#DIV/0!</v>
      </c>
      <c r="W15" s="20" t="e">
        <f>Table1569[[#This Row],[Total Cost Per Serving (N+P)/I]]*Table1569[[#This Row],[Estimated Servings Annual]]</f>
        <v>#DIV/0!</v>
      </c>
    </row>
    <row r="16" spans="1:23" x14ac:dyDescent="0.25">
      <c r="A16" s="38" t="s">
        <v>73</v>
      </c>
      <c r="B16" s="5" t="s">
        <v>75</v>
      </c>
      <c r="C16" s="7" t="s">
        <v>13</v>
      </c>
      <c r="D16" s="7"/>
      <c r="E16" s="7"/>
      <c r="F16" s="7"/>
      <c r="G16" s="7"/>
      <c r="H16" s="7"/>
      <c r="I16" s="7"/>
      <c r="J16" s="93">
        <v>250000</v>
      </c>
      <c r="K16" s="7"/>
      <c r="L16" s="7"/>
      <c r="M16" s="7"/>
      <c r="N16" s="7"/>
      <c r="O16" s="7"/>
      <c r="P16" s="7"/>
      <c r="Q16" s="110"/>
      <c r="R16" s="105">
        <f>(Table1569[[#This Row],[Commercial Bid Price per case for NOI ($)]]-Table1569[[#This Row],[Pass-Thru Value per case ($)]])+Table1569[[#This Row],[Region 1: Fixed Fee Per Case ($)]]</f>
        <v>0</v>
      </c>
      <c r="S16" s="18" t="e">
        <f>(Table1569[[#This Row],[Commercial Bid Price per case for NOI ($)]]+Table1569[[#This Row],[Region 1: Fixed Fee Per Case ($)]])/Table1569[[#This Row],['# of CN Servings per case]]</f>
        <v>#DIV/0!</v>
      </c>
      <c r="T16" s="118" t="e">
        <f>Table1569[[#This Row],[Total Cost Per Serving (N+O)/I]]*Table1569[[#This Row],[Estimated Servings Annual]]</f>
        <v>#DIV/0!</v>
      </c>
      <c r="U16" s="105">
        <f>(Table1569[[#This Row],[Commercial Bid Price per case for NOI ($)]]-Table1569[[#This Row],[Pass-Thru Value per case ($)]])+Table1569[[#This Row],[Region 2: Fixed Fee Per Case ($)]]</f>
        <v>0</v>
      </c>
      <c r="V16" s="19" t="e">
        <f>(Table1569[[#This Row],[Commercial Bid Price per case for NOI ($)]]+Table1569[[#This Row],[Region 2: Fixed Fee Per Case ($)]])/Table1569[[#This Row],['# of CN Servings per case]]</f>
        <v>#DIV/0!</v>
      </c>
      <c r="W16" s="20" t="e">
        <f>Table1569[[#This Row],[Total Cost Per Serving (N+P)/I]]*Table1569[[#This Row],[Estimated Servings Annual]]</f>
        <v>#DIV/0!</v>
      </c>
    </row>
    <row r="17" spans="1:23" x14ac:dyDescent="0.25">
      <c r="A17" s="38" t="s">
        <v>73</v>
      </c>
      <c r="B17" s="5" t="s">
        <v>75</v>
      </c>
      <c r="C17" s="7" t="s">
        <v>13</v>
      </c>
      <c r="D17" s="7"/>
      <c r="E17" s="7"/>
      <c r="F17" s="7"/>
      <c r="G17" s="7"/>
      <c r="H17" s="7"/>
      <c r="I17" s="7"/>
      <c r="J17" s="93">
        <v>250000</v>
      </c>
      <c r="K17" s="7"/>
      <c r="L17" s="7"/>
      <c r="M17" s="7"/>
      <c r="N17" s="7"/>
      <c r="O17" s="7"/>
      <c r="P17" s="7"/>
      <c r="Q17" s="110"/>
      <c r="R17" s="105">
        <f>(Table1569[[#This Row],[Commercial Bid Price per case for NOI ($)]]-Table1569[[#This Row],[Pass-Thru Value per case ($)]])+Table1569[[#This Row],[Region 1: Fixed Fee Per Case ($)]]</f>
        <v>0</v>
      </c>
      <c r="S17" s="18" t="e">
        <f>(Table1569[[#This Row],[Commercial Bid Price per case for NOI ($)]]+Table1569[[#This Row],[Region 1: Fixed Fee Per Case ($)]])/Table1569[[#This Row],['# of CN Servings per case]]</f>
        <v>#DIV/0!</v>
      </c>
      <c r="T17" s="118" t="e">
        <f>Table1569[[#This Row],[Total Cost Per Serving (N+O)/I]]*Table1569[[#This Row],[Estimated Servings Annual]]</f>
        <v>#DIV/0!</v>
      </c>
      <c r="U17" s="105">
        <f>(Table1569[[#This Row],[Commercial Bid Price per case for NOI ($)]]-Table1569[[#This Row],[Pass-Thru Value per case ($)]])+Table1569[[#This Row],[Region 2: Fixed Fee Per Case ($)]]</f>
        <v>0</v>
      </c>
      <c r="V17" s="19" t="e">
        <f>(Table1569[[#This Row],[Commercial Bid Price per case for NOI ($)]]+Table1569[[#This Row],[Region 2: Fixed Fee Per Case ($)]])/Table1569[[#This Row],['# of CN Servings per case]]</f>
        <v>#DIV/0!</v>
      </c>
      <c r="W17" s="20" t="e">
        <f>Table1569[[#This Row],[Total Cost Per Serving (N+P)/I]]*Table1569[[#This Row],[Estimated Servings Annual]]</f>
        <v>#DIV/0!</v>
      </c>
    </row>
    <row r="18" spans="1:23" ht="15.75" thickBot="1" x14ac:dyDescent="0.3">
      <c r="A18" s="38" t="s">
        <v>73</v>
      </c>
      <c r="B18" s="8" t="s">
        <v>75</v>
      </c>
      <c r="C18" s="9" t="s">
        <v>13</v>
      </c>
      <c r="D18" s="9"/>
      <c r="E18" s="9"/>
      <c r="F18" s="9"/>
      <c r="G18" s="9"/>
      <c r="H18" s="9"/>
      <c r="I18" s="9"/>
      <c r="J18" s="94">
        <v>250000</v>
      </c>
      <c r="K18" s="9"/>
      <c r="L18" s="9"/>
      <c r="M18" s="9"/>
      <c r="N18" s="9"/>
      <c r="O18" s="9"/>
      <c r="P18" s="9"/>
      <c r="Q18" s="111"/>
      <c r="R18" s="106">
        <f>(Table1569[[#This Row],[Commercial Bid Price per case for NOI ($)]]-Table1569[[#This Row],[Pass-Thru Value per case ($)]])+Table1569[[#This Row],[Region 1: Fixed Fee Per Case ($)]]</f>
        <v>0</v>
      </c>
      <c r="S18" s="21" t="e">
        <f>(Table1569[[#This Row],[Commercial Bid Price per case for NOI ($)]]+Table1569[[#This Row],[Region 1: Fixed Fee Per Case ($)]])/Table1569[[#This Row],['# of CN Servings per case]]</f>
        <v>#DIV/0!</v>
      </c>
      <c r="T18" s="120" t="e">
        <f>Table1569[[#This Row],[Total Cost Per Serving (N+O)/I]]*Table1569[[#This Row],[Estimated Servings Annual]]</f>
        <v>#DIV/0!</v>
      </c>
      <c r="U18" s="106">
        <f>(Table1569[[#This Row],[Commercial Bid Price per case for NOI ($)]]-Table1569[[#This Row],[Pass-Thru Value per case ($)]])+Table1569[[#This Row],[Region 2: Fixed Fee Per Case ($)]]</f>
        <v>0</v>
      </c>
      <c r="V18" s="22" t="e">
        <f>(Table1569[[#This Row],[Commercial Bid Price per case for NOI ($)]]+Table1569[[#This Row],[Region 2: Fixed Fee Per Case ($)]])/Table1569[[#This Row],['# of CN Servings per case]]</f>
        <v>#DIV/0!</v>
      </c>
      <c r="W18" s="23" t="e">
        <f>Table1569[[#This Row],[Total Cost Per Serving (N+P)/I]]*Table1569[[#This Row],[Estimated Servings Annual]]</f>
        <v>#DIV/0!</v>
      </c>
    </row>
    <row r="19" spans="1:23" x14ac:dyDescent="0.25">
      <c r="A19" s="39" t="s">
        <v>73</v>
      </c>
      <c r="B19" s="2" t="s">
        <v>76</v>
      </c>
      <c r="C19" s="3" t="s">
        <v>77</v>
      </c>
      <c r="D19" s="4"/>
      <c r="E19" s="4"/>
      <c r="F19" s="4"/>
      <c r="G19" s="4"/>
      <c r="H19" s="4"/>
      <c r="I19" s="4"/>
      <c r="J19" s="92">
        <v>100000</v>
      </c>
      <c r="K19" s="4"/>
      <c r="L19" s="4"/>
      <c r="M19" s="4"/>
      <c r="N19" s="4"/>
      <c r="O19" s="4"/>
      <c r="P19" s="4"/>
      <c r="Q19" s="109"/>
      <c r="R19" s="104">
        <f>(Table1569[[#This Row],[Commercial Bid Price per case for NOI ($)]]-Table1569[[#This Row],[Pass-Thru Value per case ($)]])+Table1569[[#This Row],[Region 1: Fixed Fee Per Case ($)]]</f>
        <v>0</v>
      </c>
      <c r="S19" s="15" t="e">
        <f>(Table1569[[#This Row],[Commercial Bid Price per case for NOI ($)]]+Table1569[[#This Row],[Region 1: Fixed Fee Per Case ($)]])/Table1569[[#This Row],['# of CN Servings per case]]</f>
        <v>#DIV/0!</v>
      </c>
      <c r="T19" s="115" t="e">
        <f>Table1569[[#This Row],[Total Cost Per Serving (N+O)/I]]*Table1569[[#This Row],[Estimated Servings Annual]]</f>
        <v>#DIV/0!</v>
      </c>
      <c r="U19" s="104">
        <f>(Table1569[[#This Row],[Commercial Bid Price per case for NOI ($)]]-Table1569[[#This Row],[Pass-Thru Value per case ($)]])+Table1569[[#This Row],[Region 2: Fixed Fee Per Case ($)]]</f>
        <v>0</v>
      </c>
      <c r="V19" s="31" t="e">
        <f>(Table1569[[#This Row],[Commercial Bid Price per case for NOI ($)]]+Table1569[[#This Row],[Region 2: Fixed Fee Per Case ($)]])/Table1569[[#This Row],['# of CN Servings per case]]</f>
        <v>#DIV/0!</v>
      </c>
      <c r="W19" s="17" t="e">
        <f>Table1569[[#This Row],[Total Cost Per Serving (N+P)/I]]*Table1569[[#This Row],[Estimated Servings Annual]]</f>
        <v>#DIV/0!</v>
      </c>
    </row>
    <row r="20" spans="1:23" x14ac:dyDescent="0.25">
      <c r="A20" s="39" t="s">
        <v>73</v>
      </c>
      <c r="B20" s="5" t="s">
        <v>76</v>
      </c>
      <c r="C20" s="6" t="s">
        <v>77</v>
      </c>
      <c r="D20" s="7"/>
      <c r="E20" s="7"/>
      <c r="F20" s="7"/>
      <c r="G20" s="7"/>
      <c r="H20" s="7"/>
      <c r="I20" s="7"/>
      <c r="J20" s="93">
        <v>100000</v>
      </c>
      <c r="K20" s="7"/>
      <c r="L20" s="7"/>
      <c r="M20" s="7"/>
      <c r="N20" s="7"/>
      <c r="O20" s="7"/>
      <c r="P20" s="7"/>
      <c r="Q20" s="110"/>
      <c r="R20" s="105">
        <f>(Table1569[[#This Row],[Commercial Bid Price per case for NOI ($)]]-Table1569[[#This Row],[Pass-Thru Value per case ($)]])+Table1569[[#This Row],[Region 1: Fixed Fee Per Case ($)]]</f>
        <v>0</v>
      </c>
      <c r="S20" s="18" t="e">
        <f>(Table1569[[#This Row],[Commercial Bid Price per case for NOI ($)]]+Table1569[[#This Row],[Region 1: Fixed Fee Per Case ($)]])/Table1569[[#This Row],['# of CN Servings per case]]</f>
        <v>#DIV/0!</v>
      </c>
      <c r="T20" s="118" t="e">
        <f>Table1569[[#This Row],[Total Cost Per Serving (N+O)/I]]*Table1569[[#This Row],[Estimated Servings Annual]]</f>
        <v>#DIV/0!</v>
      </c>
      <c r="U20" s="105">
        <f>(Table1569[[#This Row],[Commercial Bid Price per case for NOI ($)]]-Table1569[[#This Row],[Pass-Thru Value per case ($)]])+Table1569[[#This Row],[Region 2: Fixed Fee Per Case ($)]]</f>
        <v>0</v>
      </c>
      <c r="V20" s="24" t="e">
        <f>(Table1569[[#This Row],[Commercial Bid Price per case for NOI ($)]]+Table1569[[#This Row],[Region 2: Fixed Fee Per Case ($)]])/Table1569[[#This Row],['# of CN Servings per case]]</f>
        <v>#DIV/0!</v>
      </c>
      <c r="W20" s="20" t="e">
        <f>Table1569[[#This Row],[Total Cost Per Serving (N+P)/I]]*Table1569[[#This Row],[Estimated Servings Annual]]</f>
        <v>#DIV/0!</v>
      </c>
    </row>
    <row r="21" spans="1:23" x14ac:dyDescent="0.25">
      <c r="A21" s="39" t="s">
        <v>73</v>
      </c>
      <c r="B21" s="5" t="s">
        <v>76</v>
      </c>
      <c r="C21" s="6" t="s">
        <v>78</v>
      </c>
      <c r="D21" s="7"/>
      <c r="E21" s="7"/>
      <c r="F21" s="7"/>
      <c r="G21" s="7"/>
      <c r="H21" s="7"/>
      <c r="I21" s="7"/>
      <c r="J21" s="93">
        <v>100000</v>
      </c>
      <c r="K21" s="7"/>
      <c r="L21" s="7"/>
      <c r="M21" s="7"/>
      <c r="N21" s="7"/>
      <c r="O21" s="7"/>
      <c r="P21" s="7"/>
      <c r="Q21" s="110"/>
      <c r="R21" s="105">
        <f>(Table1569[[#This Row],[Commercial Bid Price per case for NOI ($)]]-Table1569[[#This Row],[Pass-Thru Value per case ($)]])+Table1569[[#This Row],[Region 1: Fixed Fee Per Case ($)]]</f>
        <v>0</v>
      </c>
      <c r="S21" s="18" t="e">
        <f>(Table1569[[#This Row],[Commercial Bid Price per case for NOI ($)]]+Table1569[[#This Row],[Region 1: Fixed Fee Per Case ($)]])/Table1569[[#This Row],['# of CN Servings per case]]</f>
        <v>#DIV/0!</v>
      </c>
      <c r="T21" s="118" t="e">
        <f>Table1569[[#This Row],[Total Cost Per Serving (N+O)/I]]*Table1569[[#This Row],[Estimated Servings Annual]]</f>
        <v>#DIV/0!</v>
      </c>
      <c r="U21" s="105">
        <f>(Table1569[[#This Row],[Commercial Bid Price per case for NOI ($)]]-Table1569[[#This Row],[Pass-Thru Value per case ($)]])+Table1569[[#This Row],[Region 2: Fixed Fee Per Case ($)]]</f>
        <v>0</v>
      </c>
      <c r="V21" s="24" t="e">
        <f>(Table1569[[#This Row],[Commercial Bid Price per case for NOI ($)]]+Table1569[[#This Row],[Region 2: Fixed Fee Per Case ($)]])/Table1569[[#This Row],['# of CN Servings per case]]</f>
        <v>#DIV/0!</v>
      </c>
      <c r="W21" s="20" t="e">
        <f>Table1569[[#This Row],[Total Cost Per Serving (N+P)/I]]*Table1569[[#This Row],[Estimated Servings Annual]]</f>
        <v>#DIV/0!</v>
      </c>
    </row>
    <row r="22" spans="1:23" x14ac:dyDescent="0.25">
      <c r="A22" s="39" t="s">
        <v>73</v>
      </c>
      <c r="B22" s="5" t="s">
        <v>76</v>
      </c>
      <c r="C22" s="6" t="s">
        <v>78</v>
      </c>
      <c r="D22" s="7"/>
      <c r="E22" s="7"/>
      <c r="F22" s="7"/>
      <c r="G22" s="7"/>
      <c r="H22" s="7"/>
      <c r="I22" s="7"/>
      <c r="J22" s="93">
        <v>100000</v>
      </c>
      <c r="K22" s="7"/>
      <c r="L22" s="7"/>
      <c r="M22" s="7"/>
      <c r="N22" s="7"/>
      <c r="O22" s="7"/>
      <c r="P22" s="7"/>
      <c r="Q22" s="110"/>
      <c r="R22" s="105">
        <f>(Table1569[[#This Row],[Commercial Bid Price per case for NOI ($)]]-Table1569[[#This Row],[Pass-Thru Value per case ($)]])+Table1569[[#This Row],[Region 1: Fixed Fee Per Case ($)]]</f>
        <v>0</v>
      </c>
      <c r="S22" s="18" t="e">
        <f>(Table1569[[#This Row],[Commercial Bid Price per case for NOI ($)]]+Table1569[[#This Row],[Region 1: Fixed Fee Per Case ($)]])/Table1569[[#This Row],['# of CN Servings per case]]</f>
        <v>#DIV/0!</v>
      </c>
      <c r="T22" s="118" t="e">
        <f>Table1569[[#This Row],[Total Cost Per Serving (N+O)/I]]*Table1569[[#This Row],[Estimated Servings Annual]]</f>
        <v>#DIV/0!</v>
      </c>
      <c r="U22" s="105">
        <f>(Table1569[[#This Row],[Commercial Bid Price per case for NOI ($)]]-Table1569[[#This Row],[Pass-Thru Value per case ($)]])+Table1569[[#This Row],[Region 2: Fixed Fee Per Case ($)]]</f>
        <v>0</v>
      </c>
      <c r="V22" s="24" t="e">
        <f>(Table1569[[#This Row],[Commercial Bid Price per case for NOI ($)]]+Table1569[[#This Row],[Region 2: Fixed Fee Per Case ($)]])/Table1569[[#This Row],['# of CN Servings per case]]</f>
        <v>#DIV/0!</v>
      </c>
      <c r="W22" s="20" t="e">
        <f>Table1569[[#This Row],[Total Cost Per Serving (N+P)/I]]*Table1569[[#This Row],[Estimated Servings Annual]]</f>
        <v>#DIV/0!</v>
      </c>
    </row>
    <row r="23" spans="1:23" x14ac:dyDescent="0.25">
      <c r="A23" s="39" t="s">
        <v>73</v>
      </c>
      <c r="B23" s="5" t="s">
        <v>76</v>
      </c>
      <c r="C23" s="7" t="s">
        <v>13</v>
      </c>
      <c r="D23" s="7"/>
      <c r="E23" s="7"/>
      <c r="F23" s="7"/>
      <c r="G23" s="7"/>
      <c r="H23" s="7"/>
      <c r="I23" s="7"/>
      <c r="J23" s="93">
        <v>100000</v>
      </c>
      <c r="K23" s="7"/>
      <c r="L23" s="7"/>
      <c r="M23" s="7"/>
      <c r="N23" s="7"/>
      <c r="O23" s="7"/>
      <c r="P23" s="7"/>
      <c r="Q23" s="110"/>
      <c r="R23" s="105">
        <f>(Table1569[[#This Row],[Commercial Bid Price per case for NOI ($)]]-Table1569[[#This Row],[Pass-Thru Value per case ($)]])+Table1569[[#This Row],[Region 1: Fixed Fee Per Case ($)]]</f>
        <v>0</v>
      </c>
      <c r="S23" s="18" t="e">
        <f>(Table1569[[#This Row],[Commercial Bid Price per case for NOI ($)]]+Table1569[[#This Row],[Region 1: Fixed Fee Per Case ($)]])/Table1569[[#This Row],['# of CN Servings per case]]</f>
        <v>#DIV/0!</v>
      </c>
      <c r="T23" s="118" t="e">
        <f>Table1569[[#This Row],[Total Cost Per Serving (N+O)/I]]*Table1569[[#This Row],[Estimated Servings Annual]]</f>
        <v>#DIV/0!</v>
      </c>
      <c r="U23" s="105">
        <f>(Table1569[[#This Row],[Commercial Bid Price per case for NOI ($)]]-Table1569[[#This Row],[Pass-Thru Value per case ($)]])+Table1569[[#This Row],[Region 2: Fixed Fee Per Case ($)]]</f>
        <v>0</v>
      </c>
      <c r="V23" s="24" t="e">
        <f>(Table1569[[#This Row],[Commercial Bid Price per case for NOI ($)]]+Table1569[[#This Row],[Region 2: Fixed Fee Per Case ($)]])/Table1569[[#This Row],['# of CN Servings per case]]</f>
        <v>#DIV/0!</v>
      </c>
      <c r="W23" s="20" t="e">
        <f>Table1569[[#This Row],[Total Cost Per Serving (N+P)/I]]*Table1569[[#This Row],[Estimated Servings Annual]]</f>
        <v>#DIV/0!</v>
      </c>
    </row>
    <row r="24" spans="1:23" x14ac:dyDescent="0.25">
      <c r="A24" s="39" t="s">
        <v>73</v>
      </c>
      <c r="B24" s="5" t="s">
        <v>76</v>
      </c>
      <c r="C24" s="7" t="s">
        <v>13</v>
      </c>
      <c r="D24" s="7"/>
      <c r="E24" s="7"/>
      <c r="F24" s="7"/>
      <c r="G24" s="7"/>
      <c r="H24" s="7"/>
      <c r="I24" s="7"/>
      <c r="J24" s="93">
        <v>100000</v>
      </c>
      <c r="K24" s="7"/>
      <c r="L24" s="7"/>
      <c r="M24" s="7"/>
      <c r="N24" s="7"/>
      <c r="O24" s="7"/>
      <c r="P24" s="7"/>
      <c r="Q24" s="110"/>
      <c r="R24" s="105">
        <f>(Table1569[[#This Row],[Commercial Bid Price per case for NOI ($)]]-Table1569[[#This Row],[Pass-Thru Value per case ($)]])+Table1569[[#This Row],[Region 1: Fixed Fee Per Case ($)]]</f>
        <v>0</v>
      </c>
      <c r="S24" s="18" t="e">
        <f>(Table1569[[#This Row],[Commercial Bid Price per case for NOI ($)]]+Table1569[[#This Row],[Region 1: Fixed Fee Per Case ($)]])/Table1569[[#This Row],['# of CN Servings per case]]</f>
        <v>#DIV/0!</v>
      </c>
      <c r="T24" s="118" t="e">
        <f>Table1569[[#This Row],[Total Cost Per Serving (N+O)/I]]*Table1569[[#This Row],[Estimated Servings Annual]]</f>
        <v>#DIV/0!</v>
      </c>
      <c r="U24" s="105">
        <f>(Table1569[[#This Row],[Commercial Bid Price per case for NOI ($)]]-Table1569[[#This Row],[Pass-Thru Value per case ($)]])+Table1569[[#This Row],[Region 2: Fixed Fee Per Case ($)]]</f>
        <v>0</v>
      </c>
      <c r="V24" s="24" t="e">
        <f>(Table1569[[#This Row],[Commercial Bid Price per case for NOI ($)]]+Table1569[[#This Row],[Region 2: Fixed Fee Per Case ($)]])/Table1569[[#This Row],['# of CN Servings per case]]</f>
        <v>#DIV/0!</v>
      </c>
      <c r="W24" s="20" t="e">
        <f>Table1569[[#This Row],[Total Cost Per Serving (N+P)/I]]*Table1569[[#This Row],[Estimated Servings Annual]]</f>
        <v>#DIV/0!</v>
      </c>
    </row>
    <row r="25" spans="1:23" x14ac:dyDescent="0.25">
      <c r="A25" s="39" t="s">
        <v>73</v>
      </c>
      <c r="B25" s="5" t="s">
        <v>76</v>
      </c>
      <c r="C25" s="7" t="s">
        <v>13</v>
      </c>
      <c r="D25" s="7"/>
      <c r="E25" s="7"/>
      <c r="F25" s="7"/>
      <c r="G25" s="7"/>
      <c r="H25" s="7"/>
      <c r="I25" s="7"/>
      <c r="J25" s="93">
        <v>100000</v>
      </c>
      <c r="K25" s="7"/>
      <c r="L25" s="7"/>
      <c r="M25" s="7"/>
      <c r="N25" s="7"/>
      <c r="O25" s="7"/>
      <c r="P25" s="7"/>
      <c r="Q25" s="110"/>
      <c r="R25" s="105">
        <f>(Table1569[[#This Row],[Commercial Bid Price per case for NOI ($)]]-Table1569[[#This Row],[Pass-Thru Value per case ($)]])+Table1569[[#This Row],[Region 1: Fixed Fee Per Case ($)]]</f>
        <v>0</v>
      </c>
      <c r="S25" s="18" t="e">
        <f>(Table1569[[#This Row],[Commercial Bid Price per case for NOI ($)]]+Table1569[[#This Row],[Region 1: Fixed Fee Per Case ($)]])/Table1569[[#This Row],['# of CN Servings per case]]</f>
        <v>#DIV/0!</v>
      </c>
      <c r="T25" s="118" t="e">
        <f>Table1569[[#This Row],[Total Cost Per Serving (N+O)/I]]*Table1569[[#This Row],[Estimated Servings Annual]]</f>
        <v>#DIV/0!</v>
      </c>
      <c r="U25" s="105">
        <f>(Table1569[[#This Row],[Commercial Bid Price per case for NOI ($)]]-Table1569[[#This Row],[Pass-Thru Value per case ($)]])+Table1569[[#This Row],[Region 2: Fixed Fee Per Case ($)]]</f>
        <v>0</v>
      </c>
      <c r="V25" s="24" t="e">
        <f>(Table1569[[#This Row],[Commercial Bid Price per case for NOI ($)]]+Table1569[[#This Row],[Region 2: Fixed Fee Per Case ($)]])/Table1569[[#This Row],['# of CN Servings per case]]</f>
        <v>#DIV/0!</v>
      </c>
      <c r="W25" s="20" t="e">
        <f>Table1569[[#This Row],[Total Cost Per Serving (N+P)/I]]*Table1569[[#This Row],[Estimated Servings Annual]]</f>
        <v>#DIV/0!</v>
      </c>
    </row>
    <row r="26" spans="1:23" ht="15.75" thickBot="1" x14ac:dyDescent="0.3">
      <c r="A26" s="41" t="s">
        <v>73</v>
      </c>
      <c r="B26" s="8" t="s">
        <v>76</v>
      </c>
      <c r="C26" s="9" t="s">
        <v>13</v>
      </c>
      <c r="D26" s="9"/>
      <c r="E26" s="9"/>
      <c r="F26" s="9"/>
      <c r="G26" s="9"/>
      <c r="H26" s="9"/>
      <c r="I26" s="9"/>
      <c r="J26" s="94">
        <v>100000</v>
      </c>
      <c r="K26" s="9"/>
      <c r="L26" s="9"/>
      <c r="M26" s="9"/>
      <c r="N26" s="9"/>
      <c r="O26" s="9"/>
      <c r="P26" s="9"/>
      <c r="Q26" s="111"/>
      <c r="R26" s="106">
        <f>(Table1569[[#This Row],[Commercial Bid Price per case for NOI ($)]]-Table1569[[#This Row],[Pass-Thru Value per case ($)]])+Table1569[[#This Row],[Region 1: Fixed Fee Per Case ($)]]</f>
        <v>0</v>
      </c>
      <c r="S26" s="21" t="e">
        <f>(Table1569[[#This Row],[Commercial Bid Price per case for NOI ($)]]+Table1569[[#This Row],[Region 1: Fixed Fee Per Case ($)]])/Table1569[[#This Row],['# of CN Servings per case]]</f>
        <v>#DIV/0!</v>
      </c>
      <c r="T26" s="120" t="e">
        <f>Table1569[[#This Row],[Total Cost Per Serving (N+O)/I]]*Table1569[[#This Row],[Estimated Servings Annual]]</f>
        <v>#DIV/0!</v>
      </c>
      <c r="U26" s="106">
        <f>(Table1569[[#This Row],[Commercial Bid Price per case for NOI ($)]]-Table1569[[#This Row],[Pass-Thru Value per case ($)]])+Table1569[[#This Row],[Region 2: Fixed Fee Per Case ($)]]</f>
        <v>0</v>
      </c>
      <c r="V26" s="25" t="e">
        <f>(Table1569[[#This Row],[Commercial Bid Price per case for NOI ($)]]+Table1569[[#This Row],[Region 2: Fixed Fee Per Case ($)]])/Table1569[[#This Row],['# of CN Servings per case]]</f>
        <v>#DIV/0!</v>
      </c>
      <c r="W26" s="23" t="e">
        <f>Table1569[[#This Row],[Total Cost Per Serving (N+P)/I]]*Table1569[[#This Row],[Estimated Servings Annual]]</f>
        <v>#DIV/0!</v>
      </c>
    </row>
  </sheetData>
  <mergeCells count="3">
    <mergeCell ref="E1:G1"/>
    <mergeCell ref="R1:T1"/>
    <mergeCell ref="U1:W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O2" sqref="O2:W2"/>
    </sheetView>
  </sheetViews>
  <sheetFormatPr defaultRowHeight="15" x14ac:dyDescent="0.25"/>
  <cols>
    <col min="1" max="1" width="11.140625" bestFit="1" customWidth="1"/>
    <col min="2" max="2" width="18.7109375" bestFit="1" customWidth="1"/>
    <col min="3" max="3" width="22" bestFit="1" customWidth="1"/>
    <col min="4" max="4" width="21" bestFit="1" customWidth="1"/>
    <col min="5" max="5" width="32.42578125" customWidth="1"/>
    <col min="6" max="6" width="15.140625" bestFit="1" customWidth="1"/>
    <col min="7" max="7" width="14.28515625" bestFit="1" customWidth="1"/>
    <col min="8" max="9" width="17.5703125" bestFit="1" customWidth="1"/>
    <col min="10" max="10" width="16.42578125" style="90" bestFit="1" customWidth="1"/>
    <col min="11" max="11" width="22.7109375" bestFit="1" customWidth="1"/>
    <col min="12" max="12" width="19.140625" bestFit="1" customWidth="1"/>
    <col min="13" max="13" width="17.28515625" bestFit="1" customWidth="1"/>
    <col min="14" max="14" width="15" customWidth="1"/>
    <col min="15" max="15" width="18.7109375" customWidth="1"/>
    <col min="16" max="17" width="18.28515625" bestFit="1" customWidth="1"/>
    <col min="18" max="18" width="17.85546875" customWidth="1"/>
    <col min="19" max="20" width="14.85546875" customWidth="1"/>
    <col min="21" max="21" width="16.5703125" customWidth="1"/>
    <col min="22" max="23" width="14.85546875" customWidth="1"/>
  </cols>
  <sheetData>
    <row r="1" spans="1:23" x14ac:dyDescent="0.25">
      <c r="D1" s="1" t="s">
        <v>149</v>
      </c>
      <c r="E1" s="137" t="str">
        <f>Instructions!A2</f>
        <v xml:space="preserve"> </v>
      </c>
      <c r="F1" s="137"/>
      <c r="G1" s="137"/>
      <c r="R1" s="134" t="s">
        <v>167</v>
      </c>
      <c r="S1" s="135"/>
      <c r="T1" s="136"/>
      <c r="U1" s="134" t="s">
        <v>168</v>
      </c>
      <c r="V1" s="135"/>
      <c r="W1" s="136"/>
    </row>
    <row r="2" spans="1:23" s="1" customFormat="1" ht="45.75" thickBot="1" x14ac:dyDescent="0.3">
      <c r="A2" s="1" t="s">
        <v>14</v>
      </c>
      <c r="B2" s="1" t="s">
        <v>3</v>
      </c>
      <c r="C2" s="1" t="s">
        <v>23</v>
      </c>
      <c r="D2" s="1" t="s">
        <v>154</v>
      </c>
      <c r="E2" s="1" t="s">
        <v>0</v>
      </c>
      <c r="F2" s="1" t="s">
        <v>4</v>
      </c>
      <c r="G2" s="1" t="s">
        <v>20</v>
      </c>
      <c r="H2" s="1" t="s">
        <v>1</v>
      </c>
      <c r="I2" s="1" t="s">
        <v>5</v>
      </c>
      <c r="J2" s="91" t="s">
        <v>6</v>
      </c>
      <c r="K2" s="1" t="s">
        <v>2</v>
      </c>
      <c r="L2" s="1" t="s">
        <v>21</v>
      </c>
      <c r="M2" s="71" t="s">
        <v>153</v>
      </c>
      <c r="N2" s="1" t="s">
        <v>22</v>
      </c>
      <c r="O2" s="1" t="s">
        <v>165</v>
      </c>
      <c r="P2" s="1" t="s">
        <v>166</v>
      </c>
      <c r="Q2" s="1" t="s">
        <v>19</v>
      </c>
      <c r="R2" s="101" t="s">
        <v>162</v>
      </c>
      <c r="S2" s="102" t="s">
        <v>163</v>
      </c>
      <c r="T2" s="103" t="s">
        <v>171</v>
      </c>
      <c r="U2" s="101" t="s">
        <v>169</v>
      </c>
      <c r="V2" s="102" t="s">
        <v>170</v>
      </c>
      <c r="W2" s="103" t="s">
        <v>172</v>
      </c>
    </row>
    <row r="3" spans="1:23" x14ac:dyDescent="0.25">
      <c r="A3" s="37" t="s">
        <v>79</v>
      </c>
      <c r="B3" s="2" t="s">
        <v>80</v>
      </c>
      <c r="C3" s="3" t="s">
        <v>28</v>
      </c>
      <c r="D3" s="4"/>
      <c r="E3" s="4"/>
      <c r="F3" s="4"/>
      <c r="G3" s="4"/>
      <c r="H3" s="4"/>
      <c r="I3" s="4"/>
      <c r="J3" s="92">
        <v>450000</v>
      </c>
      <c r="K3" s="4"/>
      <c r="L3" s="4"/>
      <c r="M3" s="4"/>
      <c r="N3" s="4"/>
      <c r="O3" s="4"/>
      <c r="P3" s="4"/>
      <c r="Q3" s="109"/>
      <c r="R3" s="104">
        <f>(Table156712[[#This Row],[Commercial Bid Price per case for NOI ($)]]-Table156712[[#This Row],[Pass-Thru Value per case ($)]])+Table156712[[#This Row],[Region 1: Fixed Fee Per Case ($)]]</f>
        <v>0</v>
      </c>
      <c r="S3" s="15" t="e">
        <f>(Table156712[[#This Row],[Commercial Bid Price per case for NOI ($)]]+Table156712[[#This Row],[Region 1: Fixed Fee Per Case ($)]])/Table156712[[#This Row],['# of CN Servings per case]]</f>
        <v>#DIV/0!</v>
      </c>
      <c r="T3" s="115" t="e">
        <f>Table156712[[#This Row],[Total Cost Per Serving (N+O)/I]]*Table156712[[#This Row],[Estimated Servings Annual]]</f>
        <v>#DIV/0!</v>
      </c>
      <c r="U3" s="104">
        <f>(Table156712[[#This Row],[Commercial Bid Price per case for NOI ($)]]-Table156712[[#This Row],[Pass-Thru Value per case ($)]])+Table156712[[#This Row],[Region 2: Fixed Fee Per Case ($)]]</f>
        <v>0</v>
      </c>
      <c r="V3" s="16" t="e">
        <f>(Table156712[[#This Row],[Commercial Bid Price per case for NOI ($)]]+Table156712[[#This Row],[Region 2: Fixed Fee Per Case ($)]])/Table156712[[#This Row],['# of CN Servings per case]]</f>
        <v>#DIV/0!</v>
      </c>
      <c r="W3" s="17" t="e">
        <f>Table156712[[#This Row],[Total Cost Per Serving (N+P)/I]]*Table156712[[#This Row],[Estimated Servings Annual]]</f>
        <v>#DIV/0!</v>
      </c>
    </row>
    <row r="4" spans="1:23" x14ac:dyDescent="0.25">
      <c r="A4" s="38" t="s">
        <v>79</v>
      </c>
      <c r="B4" s="5" t="s">
        <v>80</v>
      </c>
      <c r="C4" s="6" t="s">
        <v>28</v>
      </c>
      <c r="D4" s="7"/>
      <c r="E4" s="7"/>
      <c r="F4" s="7"/>
      <c r="G4" s="7"/>
      <c r="H4" s="7"/>
      <c r="I4" s="7"/>
      <c r="J4" s="93">
        <v>450000</v>
      </c>
      <c r="K4" s="7"/>
      <c r="L4" s="7"/>
      <c r="M4" s="7"/>
      <c r="N4" s="7"/>
      <c r="O4" s="7"/>
      <c r="P4" s="7"/>
      <c r="Q4" s="110"/>
      <c r="R4" s="105">
        <f>(Table156712[[#This Row],[Commercial Bid Price per case for NOI ($)]]-Table156712[[#This Row],[Pass-Thru Value per case ($)]])+Table156712[[#This Row],[Region 1: Fixed Fee Per Case ($)]]</f>
        <v>0</v>
      </c>
      <c r="S4" s="18" t="e">
        <f>(Table156712[[#This Row],[Commercial Bid Price per case for NOI ($)]]+Table156712[[#This Row],[Region 1: Fixed Fee Per Case ($)]])/Table156712[[#This Row],['# of CN Servings per case]]</f>
        <v>#DIV/0!</v>
      </c>
      <c r="T4" s="118" t="e">
        <f>Table156712[[#This Row],[Total Cost Per Serving (N+O)/I]]*Table156712[[#This Row],[Estimated Servings Annual]]</f>
        <v>#DIV/0!</v>
      </c>
      <c r="U4" s="105">
        <f>(Table156712[[#This Row],[Commercial Bid Price per case for NOI ($)]]-Table156712[[#This Row],[Pass-Thru Value per case ($)]])+Table156712[[#This Row],[Region 2: Fixed Fee Per Case ($)]]</f>
        <v>0</v>
      </c>
      <c r="V4" s="19" t="e">
        <f>(Table156712[[#This Row],[Commercial Bid Price per case for NOI ($)]]+Table156712[[#This Row],[Region 2: Fixed Fee Per Case ($)]])/Table156712[[#This Row],['# of CN Servings per case]]</f>
        <v>#DIV/0!</v>
      </c>
      <c r="W4" s="20" t="e">
        <f>Table156712[[#This Row],[Total Cost Per Serving (N+P)/I]]*Table156712[[#This Row],[Estimated Servings Annual]]</f>
        <v>#DIV/0!</v>
      </c>
    </row>
    <row r="5" spans="1:23" x14ac:dyDescent="0.25">
      <c r="A5" s="38" t="s">
        <v>79</v>
      </c>
      <c r="B5" s="5" t="s">
        <v>80</v>
      </c>
      <c r="C5" s="6" t="s">
        <v>78</v>
      </c>
      <c r="D5" s="7"/>
      <c r="E5" s="7"/>
      <c r="F5" s="7"/>
      <c r="G5" s="7"/>
      <c r="H5" s="7"/>
      <c r="I5" s="7"/>
      <c r="J5" s="93">
        <v>450000</v>
      </c>
      <c r="K5" s="7"/>
      <c r="L5" s="7"/>
      <c r="M5" s="7"/>
      <c r="N5" s="7"/>
      <c r="O5" s="7"/>
      <c r="P5" s="7"/>
      <c r="Q5" s="110"/>
      <c r="R5" s="105">
        <f>(Table156712[[#This Row],[Commercial Bid Price per case for NOI ($)]]-Table156712[[#This Row],[Pass-Thru Value per case ($)]])+Table156712[[#This Row],[Region 1: Fixed Fee Per Case ($)]]</f>
        <v>0</v>
      </c>
      <c r="S5" s="18" t="e">
        <f>(Table156712[[#This Row],[Commercial Bid Price per case for NOI ($)]]+Table156712[[#This Row],[Region 1: Fixed Fee Per Case ($)]])/Table156712[[#This Row],['# of CN Servings per case]]</f>
        <v>#DIV/0!</v>
      </c>
      <c r="T5" s="118" t="e">
        <f>Table156712[[#This Row],[Total Cost Per Serving (N+O)/I]]*Table156712[[#This Row],[Estimated Servings Annual]]</f>
        <v>#DIV/0!</v>
      </c>
      <c r="U5" s="105">
        <f>(Table156712[[#This Row],[Commercial Bid Price per case for NOI ($)]]-Table156712[[#This Row],[Pass-Thru Value per case ($)]])+Table156712[[#This Row],[Region 2: Fixed Fee Per Case ($)]]</f>
        <v>0</v>
      </c>
      <c r="V5" s="19" t="e">
        <f>(Table156712[[#This Row],[Commercial Bid Price per case for NOI ($)]]+Table156712[[#This Row],[Region 2: Fixed Fee Per Case ($)]])/Table156712[[#This Row],['# of CN Servings per case]]</f>
        <v>#DIV/0!</v>
      </c>
      <c r="W5" s="20" t="e">
        <f>Table156712[[#This Row],[Total Cost Per Serving (N+P)/I]]*Table156712[[#This Row],[Estimated Servings Annual]]</f>
        <v>#DIV/0!</v>
      </c>
    </row>
    <row r="6" spans="1:23" x14ac:dyDescent="0.25">
      <c r="A6" s="38" t="s">
        <v>79</v>
      </c>
      <c r="B6" s="5" t="s">
        <v>80</v>
      </c>
      <c r="C6" s="6" t="s">
        <v>78</v>
      </c>
      <c r="D6" s="7"/>
      <c r="E6" s="7"/>
      <c r="F6" s="7"/>
      <c r="G6" s="7"/>
      <c r="H6" s="7"/>
      <c r="I6" s="7"/>
      <c r="J6" s="93">
        <v>450000</v>
      </c>
      <c r="K6" s="7"/>
      <c r="L6" s="7"/>
      <c r="M6" s="7"/>
      <c r="N6" s="7"/>
      <c r="O6" s="7"/>
      <c r="P6" s="7"/>
      <c r="Q6" s="110"/>
      <c r="R6" s="105">
        <f>(Table156712[[#This Row],[Commercial Bid Price per case for NOI ($)]]-Table156712[[#This Row],[Pass-Thru Value per case ($)]])+Table156712[[#This Row],[Region 1: Fixed Fee Per Case ($)]]</f>
        <v>0</v>
      </c>
      <c r="S6" s="18" t="e">
        <f>(Table156712[[#This Row],[Commercial Bid Price per case for NOI ($)]]+Table156712[[#This Row],[Region 1: Fixed Fee Per Case ($)]])/Table156712[[#This Row],['# of CN Servings per case]]</f>
        <v>#DIV/0!</v>
      </c>
      <c r="T6" s="118" t="e">
        <f>Table156712[[#This Row],[Total Cost Per Serving (N+O)/I]]*Table156712[[#This Row],[Estimated Servings Annual]]</f>
        <v>#DIV/0!</v>
      </c>
      <c r="U6" s="105">
        <f>(Table156712[[#This Row],[Commercial Bid Price per case for NOI ($)]]-Table156712[[#This Row],[Pass-Thru Value per case ($)]])+Table156712[[#This Row],[Region 2: Fixed Fee Per Case ($)]]</f>
        <v>0</v>
      </c>
      <c r="V6" s="19" t="e">
        <f>(Table156712[[#This Row],[Commercial Bid Price per case for NOI ($)]]+Table156712[[#This Row],[Region 2: Fixed Fee Per Case ($)]])/Table156712[[#This Row],['# of CN Servings per case]]</f>
        <v>#DIV/0!</v>
      </c>
      <c r="W6" s="20" t="e">
        <f>Table156712[[#This Row],[Total Cost Per Serving (N+P)/I]]*Table156712[[#This Row],[Estimated Servings Annual]]</f>
        <v>#DIV/0!</v>
      </c>
    </row>
    <row r="7" spans="1:23" x14ac:dyDescent="0.25">
      <c r="A7" s="38" t="s">
        <v>79</v>
      </c>
      <c r="B7" s="5" t="s">
        <v>80</v>
      </c>
      <c r="C7" s="7" t="s">
        <v>13</v>
      </c>
      <c r="D7" s="7"/>
      <c r="E7" s="7"/>
      <c r="F7" s="7"/>
      <c r="G7" s="7"/>
      <c r="H7" s="7"/>
      <c r="I7" s="7"/>
      <c r="J7" s="93">
        <v>450000</v>
      </c>
      <c r="K7" s="7"/>
      <c r="L7" s="7"/>
      <c r="M7" s="7"/>
      <c r="N7" s="7"/>
      <c r="O7" s="7"/>
      <c r="P7" s="7"/>
      <c r="Q7" s="110"/>
      <c r="R7" s="105">
        <f>(Table156712[[#This Row],[Commercial Bid Price per case for NOI ($)]]-Table156712[[#This Row],[Pass-Thru Value per case ($)]])+Table156712[[#This Row],[Region 1: Fixed Fee Per Case ($)]]</f>
        <v>0</v>
      </c>
      <c r="S7" s="18" t="e">
        <f>(Table156712[[#This Row],[Commercial Bid Price per case for NOI ($)]]+Table156712[[#This Row],[Region 1: Fixed Fee Per Case ($)]])/Table156712[[#This Row],['# of CN Servings per case]]</f>
        <v>#DIV/0!</v>
      </c>
      <c r="T7" s="118" t="e">
        <f>Table156712[[#This Row],[Total Cost Per Serving (N+O)/I]]*Table156712[[#This Row],[Estimated Servings Annual]]</f>
        <v>#DIV/0!</v>
      </c>
      <c r="U7" s="105">
        <f>(Table156712[[#This Row],[Commercial Bid Price per case for NOI ($)]]-Table156712[[#This Row],[Pass-Thru Value per case ($)]])+Table156712[[#This Row],[Region 2: Fixed Fee Per Case ($)]]</f>
        <v>0</v>
      </c>
      <c r="V7" s="19" t="e">
        <f>(Table156712[[#This Row],[Commercial Bid Price per case for NOI ($)]]+Table156712[[#This Row],[Region 2: Fixed Fee Per Case ($)]])/Table156712[[#This Row],['# of CN Servings per case]]</f>
        <v>#DIV/0!</v>
      </c>
      <c r="W7" s="20" t="e">
        <f>Table156712[[#This Row],[Total Cost Per Serving (N+P)/I]]*Table156712[[#This Row],[Estimated Servings Annual]]</f>
        <v>#DIV/0!</v>
      </c>
    </row>
    <row r="8" spans="1:23" x14ac:dyDescent="0.25">
      <c r="A8" s="38" t="s">
        <v>79</v>
      </c>
      <c r="B8" s="5" t="s">
        <v>80</v>
      </c>
      <c r="C8" s="7" t="s">
        <v>13</v>
      </c>
      <c r="D8" s="7"/>
      <c r="E8" s="7"/>
      <c r="F8" s="7"/>
      <c r="G8" s="7"/>
      <c r="H8" s="7"/>
      <c r="I8" s="7"/>
      <c r="J8" s="93">
        <v>450000</v>
      </c>
      <c r="K8" s="7"/>
      <c r="L8" s="7"/>
      <c r="M8" s="7"/>
      <c r="N8" s="7"/>
      <c r="O8" s="7"/>
      <c r="P8" s="7"/>
      <c r="Q8" s="110"/>
      <c r="R8" s="105">
        <f>(Table156712[[#This Row],[Commercial Bid Price per case for NOI ($)]]-Table156712[[#This Row],[Pass-Thru Value per case ($)]])+Table156712[[#This Row],[Region 1: Fixed Fee Per Case ($)]]</f>
        <v>0</v>
      </c>
      <c r="S8" s="18" t="e">
        <f>(Table156712[[#This Row],[Commercial Bid Price per case for NOI ($)]]+Table156712[[#This Row],[Region 1: Fixed Fee Per Case ($)]])/Table156712[[#This Row],['# of CN Servings per case]]</f>
        <v>#DIV/0!</v>
      </c>
      <c r="T8" s="118" t="e">
        <f>Table156712[[#This Row],[Total Cost Per Serving (N+O)/I]]*Table156712[[#This Row],[Estimated Servings Annual]]</f>
        <v>#DIV/0!</v>
      </c>
      <c r="U8" s="105">
        <f>(Table156712[[#This Row],[Commercial Bid Price per case for NOI ($)]]-Table156712[[#This Row],[Pass-Thru Value per case ($)]])+Table156712[[#This Row],[Region 2: Fixed Fee Per Case ($)]]</f>
        <v>0</v>
      </c>
      <c r="V8" s="19" t="e">
        <f>(Table156712[[#This Row],[Commercial Bid Price per case for NOI ($)]]+Table156712[[#This Row],[Region 2: Fixed Fee Per Case ($)]])/Table156712[[#This Row],['# of CN Servings per case]]</f>
        <v>#DIV/0!</v>
      </c>
      <c r="W8" s="20" t="e">
        <f>Table156712[[#This Row],[Total Cost Per Serving (N+P)/I]]*Table156712[[#This Row],[Estimated Servings Annual]]</f>
        <v>#DIV/0!</v>
      </c>
    </row>
    <row r="9" spans="1:23" x14ac:dyDescent="0.25">
      <c r="A9" s="38" t="s">
        <v>79</v>
      </c>
      <c r="B9" s="5" t="s">
        <v>80</v>
      </c>
      <c r="C9" s="7" t="s">
        <v>13</v>
      </c>
      <c r="D9" s="7"/>
      <c r="E9" s="7"/>
      <c r="F9" s="7"/>
      <c r="G9" s="7"/>
      <c r="H9" s="7"/>
      <c r="I9" s="7"/>
      <c r="J9" s="93">
        <v>450000</v>
      </c>
      <c r="K9" s="7"/>
      <c r="L9" s="7"/>
      <c r="M9" s="7"/>
      <c r="N9" s="7"/>
      <c r="O9" s="7"/>
      <c r="P9" s="7"/>
      <c r="Q9" s="110"/>
      <c r="R9" s="105">
        <f>(Table156712[[#This Row],[Commercial Bid Price per case for NOI ($)]]-Table156712[[#This Row],[Pass-Thru Value per case ($)]])+Table156712[[#This Row],[Region 1: Fixed Fee Per Case ($)]]</f>
        <v>0</v>
      </c>
      <c r="S9" s="18" t="e">
        <f>(Table156712[[#This Row],[Commercial Bid Price per case for NOI ($)]]+Table156712[[#This Row],[Region 1: Fixed Fee Per Case ($)]])/Table156712[[#This Row],['# of CN Servings per case]]</f>
        <v>#DIV/0!</v>
      </c>
      <c r="T9" s="118" t="e">
        <f>Table156712[[#This Row],[Total Cost Per Serving (N+O)/I]]*Table156712[[#This Row],[Estimated Servings Annual]]</f>
        <v>#DIV/0!</v>
      </c>
      <c r="U9" s="105">
        <f>(Table156712[[#This Row],[Commercial Bid Price per case for NOI ($)]]-Table156712[[#This Row],[Pass-Thru Value per case ($)]])+Table156712[[#This Row],[Region 2: Fixed Fee Per Case ($)]]</f>
        <v>0</v>
      </c>
      <c r="V9" s="19" t="e">
        <f>(Table156712[[#This Row],[Commercial Bid Price per case for NOI ($)]]+Table156712[[#This Row],[Region 2: Fixed Fee Per Case ($)]])/Table156712[[#This Row],['# of CN Servings per case]]</f>
        <v>#DIV/0!</v>
      </c>
      <c r="W9" s="20" t="e">
        <f>Table156712[[#This Row],[Total Cost Per Serving (N+P)/I]]*Table156712[[#This Row],[Estimated Servings Annual]]</f>
        <v>#DIV/0!</v>
      </c>
    </row>
    <row r="10" spans="1:23" ht="15.75" thickBot="1" x14ac:dyDescent="0.3">
      <c r="A10" s="38" t="s">
        <v>79</v>
      </c>
      <c r="B10" s="8" t="s">
        <v>80</v>
      </c>
      <c r="C10" s="9" t="s">
        <v>13</v>
      </c>
      <c r="D10" s="9"/>
      <c r="E10" s="9"/>
      <c r="F10" s="9"/>
      <c r="G10" s="9"/>
      <c r="H10" s="9"/>
      <c r="I10" s="9"/>
      <c r="J10" s="94">
        <v>450000</v>
      </c>
      <c r="K10" s="9"/>
      <c r="L10" s="9"/>
      <c r="M10" s="9"/>
      <c r="N10" s="9"/>
      <c r="O10" s="9"/>
      <c r="P10" s="9"/>
      <c r="Q10" s="111"/>
      <c r="R10" s="106">
        <f>(Table156712[[#This Row],[Commercial Bid Price per case for NOI ($)]]-Table156712[[#This Row],[Pass-Thru Value per case ($)]])+Table156712[[#This Row],[Region 1: Fixed Fee Per Case ($)]]</f>
        <v>0</v>
      </c>
      <c r="S10" s="21" t="e">
        <f>(Table156712[[#This Row],[Commercial Bid Price per case for NOI ($)]]+Table156712[[#This Row],[Region 1: Fixed Fee Per Case ($)]])/Table156712[[#This Row],['# of CN Servings per case]]</f>
        <v>#DIV/0!</v>
      </c>
      <c r="T10" s="120" t="e">
        <f>Table156712[[#This Row],[Total Cost Per Serving (N+O)/I]]*Table156712[[#This Row],[Estimated Servings Annual]]</f>
        <v>#DIV/0!</v>
      </c>
      <c r="U10" s="106">
        <f>(Table156712[[#This Row],[Commercial Bid Price per case for NOI ($)]]-Table156712[[#This Row],[Pass-Thru Value per case ($)]])+Table156712[[#This Row],[Region 2: Fixed Fee Per Case ($)]]</f>
        <v>0</v>
      </c>
      <c r="V10" s="22" t="e">
        <f>(Table156712[[#This Row],[Commercial Bid Price per case for NOI ($)]]+Table156712[[#This Row],[Region 2: Fixed Fee Per Case ($)]])/Table156712[[#This Row],['# of CN Servings per case]]</f>
        <v>#DIV/0!</v>
      </c>
      <c r="W10" s="23" t="e">
        <f>Table156712[[#This Row],[Total Cost Per Serving (N+P)/I]]*Table156712[[#This Row],[Estimated Servings Annual]]</f>
        <v>#DIV/0!</v>
      </c>
    </row>
    <row r="11" spans="1:23" x14ac:dyDescent="0.25">
      <c r="A11" s="39" t="s">
        <v>79</v>
      </c>
      <c r="B11" s="2" t="s">
        <v>81</v>
      </c>
      <c r="C11" s="3" t="s">
        <v>28</v>
      </c>
      <c r="D11" s="4"/>
      <c r="E11" s="4"/>
      <c r="F11" s="4"/>
      <c r="G11" s="4"/>
      <c r="H11" s="4"/>
      <c r="I11" s="4"/>
      <c r="J11" s="92">
        <v>350000</v>
      </c>
      <c r="K11" s="4"/>
      <c r="L11" s="4"/>
      <c r="M11" s="4"/>
      <c r="N11" s="4"/>
      <c r="O11" s="4"/>
      <c r="P11" s="4"/>
      <c r="Q11" s="109"/>
      <c r="R11" s="104">
        <f>(Table156712[[#This Row],[Commercial Bid Price per case for NOI ($)]]-Table156712[[#This Row],[Pass-Thru Value per case ($)]])+Table156712[[#This Row],[Region 1: Fixed Fee Per Case ($)]]</f>
        <v>0</v>
      </c>
      <c r="S11" s="15" t="e">
        <f>(Table156712[[#This Row],[Commercial Bid Price per case for NOI ($)]]+Table156712[[#This Row],[Region 1: Fixed Fee Per Case ($)]])/Table156712[[#This Row],['# of CN Servings per case]]</f>
        <v>#DIV/0!</v>
      </c>
      <c r="T11" s="115" t="e">
        <f>Table156712[[#This Row],[Total Cost Per Serving (N+O)/I]]*Table156712[[#This Row],[Estimated Servings Annual]]</f>
        <v>#DIV/0!</v>
      </c>
      <c r="U11" s="104">
        <f>(Table156712[[#This Row],[Commercial Bid Price per case for NOI ($)]]-Table156712[[#This Row],[Pass-Thru Value per case ($)]])+Table156712[[#This Row],[Region 2: Fixed Fee Per Case ($)]]</f>
        <v>0</v>
      </c>
      <c r="V11" s="31" t="e">
        <f>(Table156712[[#This Row],[Commercial Bid Price per case for NOI ($)]]+Table156712[[#This Row],[Region 2: Fixed Fee Per Case ($)]])/Table156712[[#This Row],['# of CN Servings per case]]</f>
        <v>#DIV/0!</v>
      </c>
      <c r="W11" s="17" t="e">
        <f>Table156712[[#This Row],[Total Cost Per Serving (N+P)/I]]*Table156712[[#This Row],[Estimated Servings Annual]]</f>
        <v>#DIV/0!</v>
      </c>
    </row>
    <row r="12" spans="1:23" x14ac:dyDescent="0.25">
      <c r="A12" s="39" t="s">
        <v>79</v>
      </c>
      <c r="B12" s="5" t="s">
        <v>81</v>
      </c>
      <c r="C12" s="6" t="s">
        <v>28</v>
      </c>
      <c r="D12" s="7"/>
      <c r="E12" s="7"/>
      <c r="F12" s="7"/>
      <c r="G12" s="7"/>
      <c r="H12" s="7"/>
      <c r="I12" s="7"/>
      <c r="J12" s="93">
        <v>350000</v>
      </c>
      <c r="K12" s="7"/>
      <c r="L12" s="7"/>
      <c r="M12" s="7"/>
      <c r="N12" s="7"/>
      <c r="O12" s="7"/>
      <c r="P12" s="7"/>
      <c r="Q12" s="110"/>
      <c r="R12" s="105">
        <f>(Table156712[[#This Row],[Commercial Bid Price per case for NOI ($)]]-Table156712[[#This Row],[Pass-Thru Value per case ($)]])+Table156712[[#This Row],[Region 1: Fixed Fee Per Case ($)]]</f>
        <v>0</v>
      </c>
      <c r="S12" s="18" t="e">
        <f>(Table156712[[#This Row],[Commercial Bid Price per case for NOI ($)]]+Table156712[[#This Row],[Region 1: Fixed Fee Per Case ($)]])/Table156712[[#This Row],['# of CN Servings per case]]</f>
        <v>#DIV/0!</v>
      </c>
      <c r="T12" s="118" t="e">
        <f>Table156712[[#This Row],[Total Cost Per Serving (N+O)/I]]*Table156712[[#This Row],[Estimated Servings Annual]]</f>
        <v>#DIV/0!</v>
      </c>
      <c r="U12" s="105">
        <f>(Table156712[[#This Row],[Commercial Bid Price per case for NOI ($)]]-Table156712[[#This Row],[Pass-Thru Value per case ($)]])+Table156712[[#This Row],[Region 2: Fixed Fee Per Case ($)]]</f>
        <v>0</v>
      </c>
      <c r="V12" s="24" t="e">
        <f>(Table156712[[#This Row],[Commercial Bid Price per case for NOI ($)]]+Table156712[[#This Row],[Region 2: Fixed Fee Per Case ($)]])/Table156712[[#This Row],['# of CN Servings per case]]</f>
        <v>#DIV/0!</v>
      </c>
      <c r="W12" s="20" t="e">
        <f>Table156712[[#This Row],[Total Cost Per Serving (N+P)/I]]*Table156712[[#This Row],[Estimated Servings Annual]]</f>
        <v>#DIV/0!</v>
      </c>
    </row>
    <row r="13" spans="1:23" x14ac:dyDescent="0.25">
      <c r="A13" s="39" t="s">
        <v>79</v>
      </c>
      <c r="B13" s="5" t="s">
        <v>81</v>
      </c>
      <c r="C13" s="6" t="s">
        <v>78</v>
      </c>
      <c r="D13" s="7"/>
      <c r="E13" s="7"/>
      <c r="F13" s="7"/>
      <c r="G13" s="7"/>
      <c r="H13" s="7"/>
      <c r="I13" s="7"/>
      <c r="J13" s="93">
        <v>350000</v>
      </c>
      <c r="K13" s="7"/>
      <c r="L13" s="7"/>
      <c r="M13" s="7"/>
      <c r="N13" s="7"/>
      <c r="O13" s="7"/>
      <c r="P13" s="7"/>
      <c r="Q13" s="110"/>
      <c r="R13" s="105">
        <f>(Table156712[[#This Row],[Commercial Bid Price per case for NOI ($)]]-Table156712[[#This Row],[Pass-Thru Value per case ($)]])+Table156712[[#This Row],[Region 1: Fixed Fee Per Case ($)]]</f>
        <v>0</v>
      </c>
      <c r="S13" s="18" t="e">
        <f>(Table156712[[#This Row],[Commercial Bid Price per case for NOI ($)]]+Table156712[[#This Row],[Region 1: Fixed Fee Per Case ($)]])/Table156712[[#This Row],['# of CN Servings per case]]</f>
        <v>#DIV/0!</v>
      </c>
      <c r="T13" s="118" t="e">
        <f>Table156712[[#This Row],[Total Cost Per Serving (N+O)/I]]*Table156712[[#This Row],[Estimated Servings Annual]]</f>
        <v>#DIV/0!</v>
      </c>
      <c r="U13" s="105">
        <f>(Table156712[[#This Row],[Commercial Bid Price per case for NOI ($)]]-Table156712[[#This Row],[Pass-Thru Value per case ($)]])+Table156712[[#This Row],[Region 2: Fixed Fee Per Case ($)]]</f>
        <v>0</v>
      </c>
      <c r="V13" s="24" t="e">
        <f>(Table156712[[#This Row],[Commercial Bid Price per case for NOI ($)]]+Table156712[[#This Row],[Region 2: Fixed Fee Per Case ($)]])/Table156712[[#This Row],['# of CN Servings per case]]</f>
        <v>#DIV/0!</v>
      </c>
      <c r="W13" s="20" t="e">
        <f>Table156712[[#This Row],[Total Cost Per Serving (N+P)/I]]*Table156712[[#This Row],[Estimated Servings Annual]]</f>
        <v>#DIV/0!</v>
      </c>
    </row>
    <row r="14" spans="1:23" x14ac:dyDescent="0.25">
      <c r="A14" s="39" t="s">
        <v>79</v>
      </c>
      <c r="B14" s="5" t="s">
        <v>81</v>
      </c>
      <c r="C14" s="6" t="s">
        <v>78</v>
      </c>
      <c r="D14" s="7"/>
      <c r="E14" s="7"/>
      <c r="F14" s="7"/>
      <c r="G14" s="7"/>
      <c r="H14" s="7"/>
      <c r="I14" s="7"/>
      <c r="J14" s="93">
        <v>350000</v>
      </c>
      <c r="K14" s="7"/>
      <c r="L14" s="7"/>
      <c r="M14" s="7"/>
      <c r="N14" s="7"/>
      <c r="O14" s="7"/>
      <c r="P14" s="7"/>
      <c r="Q14" s="110"/>
      <c r="R14" s="105">
        <f>(Table156712[[#This Row],[Commercial Bid Price per case for NOI ($)]]-Table156712[[#This Row],[Pass-Thru Value per case ($)]])+Table156712[[#This Row],[Region 1: Fixed Fee Per Case ($)]]</f>
        <v>0</v>
      </c>
      <c r="S14" s="18" t="e">
        <f>(Table156712[[#This Row],[Commercial Bid Price per case for NOI ($)]]+Table156712[[#This Row],[Region 1: Fixed Fee Per Case ($)]])/Table156712[[#This Row],['# of CN Servings per case]]</f>
        <v>#DIV/0!</v>
      </c>
      <c r="T14" s="118" t="e">
        <f>Table156712[[#This Row],[Total Cost Per Serving (N+O)/I]]*Table156712[[#This Row],[Estimated Servings Annual]]</f>
        <v>#DIV/0!</v>
      </c>
      <c r="U14" s="105">
        <f>(Table156712[[#This Row],[Commercial Bid Price per case for NOI ($)]]-Table156712[[#This Row],[Pass-Thru Value per case ($)]])+Table156712[[#This Row],[Region 2: Fixed Fee Per Case ($)]]</f>
        <v>0</v>
      </c>
      <c r="V14" s="24" t="e">
        <f>(Table156712[[#This Row],[Commercial Bid Price per case for NOI ($)]]+Table156712[[#This Row],[Region 2: Fixed Fee Per Case ($)]])/Table156712[[#This Row],['# of CN Servings per case]]</f>
        <v>#DIV/0!</v>
      </c>
      <c r="W14" s="20" t="e">
        <f>Table156712[[#This Row],[Total Cost Per Serving (N+P)/I]]*Table156712[[#This Row],[Estimated Servings Annual]]</f>
        <v>#DIV/0!</v>
      </c>
    </row>
    <row r="15" spans="1:23" x14ac:dyDescent="0.25">
      <c r="A15" s="39" t="s">
        <v>79</v>
      </c>
      <c r="B15" s="5" t="s">
        <v>81</v>
      </c>
      <c r="C15" s="7" t="s">
        <v>13</v>
      </c>
      <c r="D15" s="7"/>
      <c r="E15" s="7"/>
      <c r="F15" s="7"/>
      <c r="G15" s="7"/>
      <c r="H15" s="7"/>
      <c r="I15" s="7"/>
      <c r="J15" s="93">
        <v>350000</v>
      </c>
      <c r="K15" s="7"/>
      <c r="L15" s="7"/>
      <c r="M15" s="7"/>
      <c r="N15" s="7"/>
      <c r="O15" s="7"/>
      <c r="P15" s="7"/>
      <c r="Q15" s="110"/>
      <c r="R15" s="105">
        <f>(Table156712[[#This Row],[Commercial Bid Price per case for NOI ($)]]-Table156712[[#This Row],[Pass-Thru Value per case ($)]])+Table156712[[#This Row],[Region 1: Fixed Fee Per Case ($)]]</f>
        <v>0</v>
      </c>
      <c r="S15" s="18" t="e">
        <f>(Table156712[[#This Row],[Commercial Bid Price per case for NOI ($)]]+Table156712[[#This Row],[Region 1: Fixed Fee Per Case ($)]])/Table156712[[#This Row],['# of CN Servings per case]]</f>
        <v>#DIV/0!</v>
      </c>
      <c r="T15" s="118" t="e">
        <f>Table156712[[#This Row],[Total Cost Per Serving (N+O)/I]]*Table156712[[#This Row],[Estimated Servings Annual]]</f>
        <v>#DIV/0!</v>
      </c>
      <c r="U15" s="105">
        <f>(Table156712[[#This Row],[Commercial Bid Price per case for NOI ($)]]-Table156712[[#This Row],[Pass-Thru Value per case ($)]])+Table156712[[#This Row],[Region 2: Fixed Fee Per Case ($)]]</f>
        <v>0</v>
      </c>
      <c r="V15" s="24" t="e">
        <f>(Table156712[[#This Row],[Commercial Bid Price per case for NOI ($)]]+Table156712[[#This Row],[Region 2: Fixed Fee Per Case ($)]])/Table156712[[#This Row],['# of CN Servings per case]]</f>
        <v>#DIV/0!</v>
      </c>
      <c r="W15" s="20" t="e">
        <f>Table156712[[#This Row],[Total Cost Per Serving (N+P)/I]]*Table156712[[#This Row],[Estimated Servings Annual]]</f>
        <v>#DIV/0!</v>
      </c>
    </row>
    <row r="16" spans="1:23" x14ac:dyDescent="0.25">
      <c r="A16" s="39" t="s">
        <v>79</v>
      </c>
      <c r="B16" s="5" t="s">
        <v>81</v>
      </c>
      <c r="C16" s="7" t="s">
        <v>13</v>
      </c>
      <c r="D16" s="7"/>
      <c r="E16" s="7"/>
      <c r="F16" s="7"/>
      <c r="G16" s="7"/>
      <c r="H16" s="7"/>
      <c r="I16" s="7"/>
      <c r="J16" s="93">
        <v>350000</v>
      </c>
      <c r="K16" s="7"/>
      <c r="L16" s="7"/>
      <c r="M16" s="7"/>
      <c r="N16" s="7"/>
      <c r="O16" s="7"/>
      <c r="P16" s="7"/>
      <c r="Q16" s="110"/>
      <c r="R16" s="105">
        <f>(Table156712[[#This Row],[Commercial Bid Price per case for NOI ($)]]-Table156712[[#This Row],[Pass-Thru Value per case ($)]])+Table156712[[#This Row],[Region 1: Fixed Fee Per Case ($)]]</f>
        <v>0</v>
      </c>
      <c r="S16" s="18" t="e">
        <f>(Table156712[[#This Row],[Commercial Bid Price per case for NOI ($)]]+Table156712[[#This Row],[Region 1: Fixed Fee Per Case ($)]])/Table156712[[#This Row],['# of CN Servings per case]]</f>
        <v>#DIV/0!</v>
      </c>
      <c r="T16" s="118" t="e">
        <f>Table156712[[#This Row],[Total Cost Per Serving (N+O)/I]]*Table156712[[#This Row],[Estimated Servings Annual]]</f>
        <v>#DIV/0!</v>
      </c>
      <c r="U16" s="105">
        <f>(Table156712[[#This Row],[Commercial Bid Price per case for NOI ($)]]-Table156712[[#This Row],[Pass-Thru Value per case ($)]])+Table156712[[#This Row],[Region 2: Fixed Fee Per Case ($)]]</f>
        <v>0</v>
      </c>
      <c r="V16" s="24" t="e">
        <f>(Table156712[[#This Row],[Commercial Bid Price per case for NOI ($)]]+Table156712[[#This Row],[Region 2: Fixed Fee Per Case ($)]])/Table156712[[#This Row],['# of CN Servings per case]]</f>
        <v>#DIV/0!</v>
      </c>
      <c r="W16" s="20" t="e">
        <f>Table156712[[#This Row],[Total Cost Per Serving (N+P)/I]]*Table156712[[#This Row],[Estimated Servings Annual]]</f>
        <v>#DIV/0!</v>
      </c>
    </row>
    <row r="17" spans="1:23" x14ac:dyDescent="0.25">
      <c r="A17" s="39" t="s">
        <v>79</v>
      </c>
      <c r="B17" s="5" t="s">
        <v>81</v>
      </c>
      <c r="C17" s="7" t="s">
        <v>13</v>
      </c>
      <c r="D17" s="7"/>
      <c r="E17" s="7"/>
      <c r="F17" s="7"/>
      <c r="G17" s="7"/>
      <c r="H17" s="7"/>
      <c r="I17" s="7"/>
      <c r="J17" s="93">
        <v>350000</v>
      </c>
      <c r="K17" s="7"/>
      <c r="L17" s="7"/>
      <c r="M17" s="7"/>
      <c r="N17" s="7"/>
      <c r="O17" s="7"/>
      <c r="P17" s="7"/>
      <c r="Q17" s="110"/>
      <c r="R17" s="105">
        <f>(Table156712[[#This Row],[Commercial Bid Price per case for NOI ($)]]-Table156712[[#This Row],[Pass-Thru Value per case ($)]])+Table156712[[#This Row],[Region 1: Fixed Fee Per Case ($)]]</f>
        <v>0</v>
      </c>
      <c r="S17" s="18" t="e">
        <f>(Table156712[[#This Row],[Commercial Bid Price per case for NOI ($)]]+Table156712[[#This Row],[Region 1: Fixed Fee Per Case ($)]])/Table156712[[#This Row],['# of CN Servings per case]]</f>
        <v>#DIV/0!</v>
      </c>
      <c r="T17" s="118" t="e">
        <f>Table156712[[#This Row],[Total Cost Per Serving (N+O)/I]]*Table156712[[#This Row],[Estimated Servings Annual]]</f>
        <v>#DIV/0!</v>
      </c>
      <c r="U17" s="105">
        <f>(Table156712[[#This Row],[Commercial Bid Price per case for NOI ($)]]-Table156712[[#This Row],[Pass-Thru Value per case ($)]])+Table156712[[#This Row],[Region 2: Fixed Fee Per Case ($)]]</f>
        <v>0</v>
      </c>
      <c r="V17" s="24" t="e">
        <f>(Table156712[[#This Row],[Commercial Bid Price per case for NOI ($)]]+Table156712[[#This Row],[Region 2: Fixed Fee Per Case ($)]])/Table156712[[#This Row],['# of CN Servings per case]]</f>
        <v>#DIV/0!</v>
      </c>
      <c r="W17" s="20" t="e">
        <f>Table156712[[#This Row],[Total Cost Per Serving (N+P)/I]]*Table156712[[#This Row],[Estimated Servings Annual]]</f>
        <v>#DIV/0!</v>
      </c>
    </row>
    <row r="18" spans="1:23" ht="15.75" thickBot="1" x14ac:dyDescent="0.3">
      <c r="A18" s="40" t="s">
        <v>79</v>
      </c>
      <c r="B18" s="8" t="s">
        <v>81</v>
      </c>
      <c r="C18" s="9" t="s">
        <v>13</v>
      </c>
      <c r="D18" s="9"/>
      <c r="E18" s="9"/>
      <c r="F18" s="9"/>
      <c r="G18" s="9"/>
      <c r="H18" s="9"/>
      <c r="I18" s="9"/>
      <c r="J18" s="94">
        <v>350000</v>
      </c>
      <c r="K18" s="9"/>
      <c r="L18" s="9"/>
      <c r="M18" s="9"/>
      <c r="N18" s="9"/>
      <c r="O18" s="9"/>
      <c r="P18" s="9"/>
      <c r="Q18" s="111"/>
      <c r="R18" s="106">
        <f>(Table156712[[#This Row],[Commercial Bid Price per case for NOI ($)]]-Table156712[[#This Row],[Pass-Thru Value per case ($)]])+Table156712[[#This Row],[Region 1: Fixed Fee Per Case ($)]]</f>
        <v>0</v>
      </c>
      <c r="S18" s="21" t="e">
        <f>(Table156712[[#This Row],[Commercial Bid Price per case for NOI ($)]]+Table156712[[#This Row],[Region 1: Fixed Fee Per Case ($)]])/Table156712[[#This Row],['# of CN Servings per case]]</f>
        <v>#DIV/0!</v>
      </c>
      <c r="T18" s="120" t="e">
        <f>Table156712[[#This Row],[Total Cost Per Serving (N+O)/I]]*Table156712[[#This Row],[Estimated Servings Annual]]</f>
        <v>#DIV/0!</v>
      </c>
      <c r="U18" s="106">
        <f>(Table156712[[#This Row],[Commercial Bid Price per case for NOI ($)]]-Table156712[[#This Row],[Pass-Thru Value per case ($)]])+Table156712[[#This Row],[Region 2: Fixed Fee Per Case ($)]]</f>
        <v>0</v>
      </c>
      <c r="V18" s="25" t="e">
        <f>(Table156712[[#This Row],[Commercial Bid Price per case for NOI ($)]]+Table156712[[#This Row],[Region 2: Fixed Fee Per Case ($)]])/Table156712[[#This Row],['# of CN Servings per case]]</f>
        <v>#DIV/0!</v>
      </c>
      <c r="W18" s="23" t="e">
        <f>Table156712[[#This Row],[Total Cost Per Serving (N+P)/I]]*Table156712[[#This Row],[Estimated Servings Annual]]</f>
        <v>#DIV/0!</v>
      </c>
    </row>
    <row r="19" spans="1:23" x14ac:dyDescent="0.25">
      <c r="A19" s="39" t="s">
        <v>79</v>
      </c>
      <c r="B19" s="2" t="s">
        <v>82</v>
      </c>
      <c r="C19" s="3" t="s">
        <v>28</v>
      </c>
      <c r="D19" s="4"/>
      <c r="E19" s="4"/>
      <c r="F19" s="4"/>
      <c r="G19" s="4"/>
      <c r="H19" s="4"/>
      <c r="I19" s="4"/>
      <c r="J19" s="92">
        <v>600000</v>
      </c>
      <c r="K19" s="4"/>
      <c r="L19" s="4"/>
      <c r="M19" s="4"/>
      <c r="N19" s="4"/>
      <c r="O19" s="4"/>
      <c r="P19" s="4"/>
      <c r="Q19" s="109"/>
      <c r="R19" s="104">
        <f>(Table156712[[#This Row],[Commercial Bid Price per case for NOI ($)]]-Table156712[[#This Row],[Pass-Thru Value per case ($)]])+Table156712[[#This Row],[Region 1: Fixed Fee Per Case ($)]]</f>
        <v>0</v>
      </c>
      <c r="S19" s="15" t="e">
        <f>(Table156712[[#This Row],[Commercial Bid Price per case for NOI ($)]]+Table156712[[#This Row],[Region 1: Fixed Fee Per Case ($)]])/Table156712[[#This Row],['# of CN Servings per case]]</f>
        <v>#DIV/0!</v>
      </c>
      <c r="T19" s="115" t="e">
        <f>Table156712[[#This Row],[Total Cost Per Serving (N+O)/I]]*Table156712[[#This Row],[Estimated Servings Annual]]</f>
        <v>#DIV/0!</v>
      </c>
      <c r="U19" s="104">
        <f>(Table156712[[#This Row],[Commercial Bid Price per case for NOI ($)]]-Table156712[[#This Row],[Pass-Thru Value per case ($)]])+Table156712[[#This Row],[Region 2: Fixed Fee Per Case ($)]]</f>
        <v>0</v>
      </c>
      <c r="V19" s="31" t="e">
        <f>(Table156712[[#This Row],[Commercial Bid Price per case for NOI ($)]]+Table156712[[#This Row],[Region 2: Fixed Fee Per Case ($)]])/Table156712[[#This Row],['# of CN Servings per case]]</f>
        <v>#DIV/0!</v>
      </c>
      <c r="W19" s="17" t="e">
        <f>Table156712[[#This Row],[Total Cost Per Serving (N+P)/I]]*Table156712[[#This Row],[Estimated Servings Annual]]</f>
        <v>#DIV/0!</v>
      </c>
    </row>
    <row r="20" spans="1:23" x14ac:dyDescent="0.25">
      <c r="A20" s="39" t="s">
        <v>79</v>
      </c>
      <c r="B20" s="5" t="s">
        <v>82</v>
      </c>
      <c r="C20" s="6" t="s">
        <v>28</v>
      </c>
      <c r="D20" s="7"/>
      <c r="E20" s="7"/>
      <c r="F20" s="7"/>
      <c r="G20" s="7"/>
      <c r="H20" s="7"/>
      <c r="I20" s="7"/>
      <c r="J20" s="93">
        <v>600000</v>
      </c>
      <c r="K20" s="7"/>
      <c r="L20" s="7"/>
      <c r="M20" s="7"/>
      <c r="N20" s="7"/>
      <c r="O20" s="7"/>
      <c r="P20" s="7"/>
      <c r="Q20" s="110"/>
      <c r="R20" s="105">
        <f>(Table156712[[#This Row],[Commercial Bid Price per case for NOI ($)]]-Table156712[[#This Row],[Pass-Thru Value per case ($)]])+Table156712[[#This Row],[Region 1: Fixed Fee Per Case ($)]]</f>
        <v>0</v>
      </c>
      <c r="S20" s="18" t="e">
        <f>(Table156712[[#This Row],[Commercial Bid Price per case for NOI ($)]]+Table156712[[#This Row],[Region 1: Fixed Fee Per Case ($)]])/Table156712[[#This Row],['# of CN Servings per case]]</f>
        <v>#DIV/0!</v>
      </c>
      <c r="T20" s="118" t="e">
        <f>Table156712[[#This Row],[Total Cost Per Serving (N+O)/I]]*Table156712[[#This Row],[Estimated Servings Annual]]</f>
        <v>#DIV/0!</v>
      </c>
      <c r="U20" s="105">
        <f>(Table156712[[#This Row],[Commercial Bid Price per case for NOI ($)]]-Table156712[[#This Row],[Pass-Thru Value per case ($)]])+Table156712[[#This Row],[Region 2: Fixed Fee Per Case ($)]]</f>
        <v>0</v>
      </c>
      <c r="V20" s="24" t="e">
        <f>(Table156712[[#This Row],[Commercial Bid Price per case for NOI ($)]]+Table156712[[#This Row],[Region 2: Fixed Fee Per Case ($)]])/Table156712[[#This Row],['# of CN Servings per case]]</f>
        <v>#DIV/0!</v>
      </c>
      <c r="W20" s="20" t="e">
        <f>Table156712[[#This Row],[Total Cost Per Serving (N+P)/I]]*Table156712[[#This Row],[Estimated Servings Annual]]</f>
        <v>#DIV/0!</v>
      </c>
    </row>
    <row r="21" spans="1:23" x14ac:dyDescent="0.25">
      <c r="A21" s="39" t="s">
        <v>79</v>
      </c>
      <c r="B21" s="5" t="s">
        <v>82</v>
      </c>
      <c r="C21" s="6" t="s">
        <v>78</v>
      </c>
      <c r="D21" s="7"/>
      <c r="E21" s="7"/>
      <c r="F21" s="7"/>
      <c r="G21" s="7"/>
      <c r="H21" s="7"/>
      <c r="I21" s="7"/>
      <c r="J21" s="93">
        <v>600000</v>
      </c>
      <c r="K21" s="7"/>
      <c r="L21" s="7"/>
      <c r="M21" s="7"/>
      <c r="N21" s="7"/>
      <c r="O21" s="7"/>
      <c r="P21" s="7"/>
      <c r="Q21" s="110"/>
      <c r="R21" s="105">
        <f>(Table156712[[#This Row],[Commercial Bid Price per case for NOI ($)]]-Table156712[[#This Row],[Pass-Thru Value per case ($)]])+Table156712[[#This Row],[Region 1: Fixed Fee Per Case ($)]]</f>
        <v>0</v>
      </c>
      <c r="S21" s="18" t="e">
        <f>(Table156712[[#This Row],[Commercial Bid Price per case for NOI ($)]]+Table156712[[#This Row],[Region 1: Fixed Fee Per Case ($)]])/Table156712[[#This Row],['# of CN Servings per case]]</f>
        <v>#DIV/0!</v>
      </c>
      <c r="T21" s="118" t="e">
        <f>Table156712[[#This Row],[Total Cost Per Serving (N+O)/I]]*Table156712[[#This Row],[Estimated Servings Annual]]</f>
        <v>#DIV/0!</v>
      </c>
      <c r="U21" s="105">
        <f>(Table156712[[#This Row],[Commercial Bid Price per case for NOI ($)]]-Table156712[[#This Row],[Pass-Thru Value per case ($)]])+Table156712[[#This Row],[Region 2: Fixed Fee Per Case ($)]]</f>
        <v>0</v>
      </c>
      <c r="V21" s="24" t="e">
        <f>(Table156712[[#This Row],[Commercial Bid Price per case for NOI ($)]]+Table156712[[#This Row],[Region 2: Fixed Fee Per Case ($)]])/Table156712[[#This Row],['# of CN Servings per case]]</f>
        <v>#DIV/0!</v>
      </c>
      <c r="W21" s="20" t="e">
        <f>Table156712[[#This Row],[Total Cost Per Serving (N+P)/I]]*Table156712[[#This Row],[Estimated Servings Annual]]</f>
        <v>#DIV/0!</v>
      </c>
    </row>
    <row r="22" spans="1:23" x14ac:dyDescent="0.25">
      <c r="A22" s="39" t="s">
        <v>79</v>
      </c>
      <c r="B22" s="5" t="s">
        <v>82</v>
      </c>
      <c r="C22" s="6" t="s">
        <v>78</v>
      </c>
      <c r="D22" s="7"/>
      <c r="E22" s="7"/>
      <c r="F22" s="7"/>
      <c r="G22" s="7"/>
      <c r="H22" s="7"/>
      <c r="I22" s="7"/>
      <c r="J22" s="93">
        <v>600000</v>
      </c>
      <c r="K22" s="7"/>
      <c r="L22" s="7"/>
      <c r="M22" s="7"/>
      <c r="N22" s="7"/>
      <c r="O22" s="7"/>
      <c r="P22" s="7"/>
      <c r="Q22" s="110"/>
      <c r="R22" s="105">
        <f>(Table156712[[#This Row],[Commercial Bid Price per case for NOI ($)]]-Table156712[[#This Row],[Pass-Thru Value per case ($)]])+Table156712[[#This Row],[Region 1: Fixed Fee Per Case ($)]]</f>
        <v>0</v>
      </c>
      <c r="S22" s="18" t="e">
        <f>(Table156712[[#This Row],[Commercial Bid Price per case for NOI ($)]]+Table156712[[#This Row],[Region 1: Fixed Fee Per Case ($)]])/Table156712[[#This Row],['# of CN Servings per case]]</f>
        <v>#DIV/0!</v>
      </c>
      <c r="T22" s="118" t="e">
        <f>Table156712[[#This Row],[Total Cost Per Serving (N+O)/I]]*Table156712[[#This Row],[Estimated Servings Annual]]</f>
        <v>#DIV/0!</v>
      </c>
      <c r="U22" s="105">
        <f>(Table156712[[#This Row],[Commercial Bid Price per case for NOI ($)]]-Table156712[[#This Row],[Pass-Thru Value per case ($)]])+Table156712[[#This Row],[Region 2: Fixed Fee Per Case ($)]]</f>
        <v>0</v>
      </c>
      <c r="V22" s="24" t="e">
        <f>(Table156712[[#This Row],[Commercial Bid Price per case for NOI ($)]]+Table156712[[#This Row],[Region 2: Fixed Fee Per Case ($)]])/Table156712[[#This Row],['# of CN Servings per case]]</f>
        <v>#DIV/0!</v>
      </c>
      <c r="W22" s="20" t="e">
        <f>Table156712[[#This Row],[Total Cost Per Serving (N+P)/I]]*Table156712[[#This Row],[Estimated Servings Annual]]</f>
        <v>#DIV/0!</v>
      </c>
    </row>
    <row r="23" spans="1:23" x14ac:dyDescent="0.25">
      <c r="A23" s="39" t="s">
        <v>79</v>
      </c>
      <c r="B23" s="5" t="s">
        <v>82</v>
      </c>
      <c r="C23" s="7" t="s">
        <v>13</v>
      </c>
      <c r="D23" s="7"/>
      <c r="E23" s="7"/>
      <c r="F23" s="7"/>
      <c r="G23" s="7"/>
      <c r="H23" s="7"/>
      <c r="I23" s="7"/>
      <c r="J23" s="93">
        <v>600000</v>
      </c>
      <c r="K23" s="7"/>
      <c r="L23" s="7"/>
      <c r="M23" s="7"/>
      <c r="N23" s="7"/>
      <c r="O23" s="7"/>
      <c r="P23" s="7"/>
      <c r="Q23" s="110"/>
      <c r="R23" s="105">
        <f>(Table156712[[#This Row],[Commercial Bid Price per case for NOI ($)]]-Table156712[[#This Row],[Pass-Thru Value per case ($)]])+Table156712[[#This Row],[Region 1: Fixed Fee Per Case ($)]]</f>
        <v>0</v>
      </c>
      <c r="S23" s="18" t="e">
        <f>(Table156712[[#This Row],[Commercial Bid Price per case for NOI ($)]]+Table156712[[#This Row],[Region 1: Fixed Fee Per Case ($)]])/Table156712[[#This Row],['# of CN Servings per case]]</f>
        <v>#DIV/0!</v>
      </c>
      <c r="T23" s="118" t="e">
        <f>Table156712[[#This Row],[Total Cost Per Serving (N+O)/I]]*Table156712[[#This Row],[Estimated Servings Annual]]</f>
        <v>#DIV/0!</v>
      </c>
      <c r="U23" s="105">
        <f>(Table156712[[#This Row],[Commercial Bid Price per case for NOI ($)]]-Table156712[[#This Row],[Pass-Thru Value per case ($)]])+Table156712[[#This Row],[Region 2: Fixed Fee Per Case ($)]]</f>
        <v>0</v>
      </c>
      <c r="V23" s="24" t="e">
        <f>(Table156712[[#This Row],[Commercial Bid Price per case for NOI ($)]]+Table156712[[#This Row],[Region 2: Fixed Fee Per Case ($)]])/Table156712[[#This Row],['# of CN Servings per case]]</f>
        <v>#DIV/0!</v>
      </c>
      <c r="W23" s="20" t="e">
        <f>Table156712[[#This Row],[Total Cost Per Serving (N+P)/I]]*Table156712[[#This Row],[Estimated Servings Annual]]</f>
        <v>#DIV/0!</v>
      </c>
    </row>
    <row r="24" spans="1:23" x14ac:dyDescent="0.25">
      <c r="A24" s="39" t="s">
        <v>79</v>
      </c>
      <c r="B24" s="5" t="s">
        <v>82</v>
      </c>
      <c r="C24" s="7" t="s">
        <v>13</v>
      </c>
      <c r="D24" s="7"/>
      <c r="E24" s="7"/>
      <c r="F24" s="7"/>
      <c r="G24" s="7"/>
      <c r="H24" s="7"/>
      <c r="I24" s="7"/>
      <c r="J24" s="93">
        <v>600000</v>
      </c>
      <c r="K24" s="7"/>
      <c r="L24" s="7"/>
      <c r="M24" s="7"/>
      <c r="N24" s="7"/>
      <c r="O24" s="7"/>
      <c r="P24" s="7"/>
      <c r="Q24" s="110"/>
      <c r="R24" s="105">
        <f>(Table156712[[#This Row],[Commercial Bid Price per case for NOI ($)]]-Table156712[[#This Row],[Pass-Thru Value per case ($)]])+Table156712[[#This Row],[Region 1: Fixed Fee Per Case ($)]]</f>
        <v>0</v>
      </c>
      <c r="S24" s="18" t="e">
        <f>(Table156712[[#This Row],[Commercial Bid Price per case for NOI ($)]]+Table156712[[#This Row],[Region 1: Fixed Fee Per Case ($)]])/Table156712[[#This Row],['# of CN Servings per case]]</f>
        <v>#DIV/0!</v>
      </c>
      <c r="T24" s="118" t="e">
        <f>Table156712[[#This Row],[Total Cost Per Serving (N+O)/I]]*Table156712[[#This Row],[Estimated Servings Annual]]</f>
        <v>#DIV/0!</v>
      </c>
      <c r="U24" s="105">
        <f>(Table156712[[#This Row],[Commercial Bid Price per case for NOI ($)]]-Table156712[[#This Row],[Pass-Thru Value per case ($)]])+Table156712[[#This Row],[Region 2: Fixed Fee Per Case ($)]]</f>
        <v>0</v>
      </c>
      <c r="V24" s="24" t="e">
        <f>(Table156712[[#This Row],[Commercial Bid Price per case for NOI ($)]]+Table156712[[#This Row],[Region 2: Fixed Fee Per Case ($)]])/Table156712[[#This Row],['# of CN Servings per case]]</f>
        <v>#DIV/0!</v>
      </c>
      <c r="W24" s="20" t="e">
        <f>Table156712[[#This Row],[Total Cost Per Serving (N+P)/I]]*Table156712[[#This Row],[Estimated Servings Annual]]</f>
        <v>#DIV/0!</v>
      </c>
    </row>
    <row r="25" spans="1:23" x14ac:dyDescent="0.25">
      <c r="A25" s="39" t="s">
        <v>79</v>
      </c>
      <c r="B25" s="5" t="s">
        <v>82</v>
      </c>
      <c r="C25" s="7" t="s">
        <v>13</v>
      </c>
      <c r="D25" s="7"/>
      <c r="E25" s="7"/>
      <c r="F25" s="7"/>
      <c r="G25" s="7"/>
      <c r="H25" s="7"/>
      <c r="I25" s="7"/>
      <c r="J25" s="93">
        <v>600000</v>
      </c>
      <c r="K25" s="7"/>
      <c r="L25" s="7"/>
      <c r="M25" s="7"/>
      <c r="N25" s="7"/>
      <c r="O25" s="7"/>
      <c r="P25" s="7"/>
      <c r="Q25" s="110"/>
      <c r="R25" s="105">
        <f>(Table156712[[#This Row],[Commercial Bid Price per case for NOI ($)]]-Table156712[[#This Row],[Pass-Thru Value per case ($)]])+Table156712[[#This Row],[Region 1: Fixed Fee Per Case ($)]]</f>
        <v>0</v>
      </c>
      <c r="S25" s="18" t="e">
        <f>(Table156712[[#This Row],[Commercial Bid Price per case for NOI ($)]]+Table156712[[#This Row],[Region 1: Fixed Fee Per Case ($)]])/Table156712[[#This Row],['# of CN Servings per case]]</f>
        <v>#DIV/0!</v>
      </c>
      <c r="T25" s="118" t="e">
        <f>Table156712[[#This Row],[Total Cost Per Serving (N+O)/I]]*Table156712[[#This Row],[Estimated Servings Annual]]</f>
        <v>#DIV/0!</v>
      </c>
      <c r="U25" s="105">
        <f>(Table156712[[#This Row],[Commercial Bid Price per case for NOI ($)]]-Table156712[[#This Row],[Pass-Thru Value per case ($)]])+Table156712[[#This Row],[Region 2: Fixed Fee Per Case ($)]]</f>
        <v>0</v>
      </c>
      <c r="V25" s="24" t="e">
        <f>(Table156712[[#This Row],[Commercial Bid Price per case for NOI ($)]]+Table156712[[#This Row],[Region 2: Fixed Fee Per Case ($)]])/Table156712[[#This Row],['# of CN Servings per case]]</f>
        <v>#DIV/0!</v>
      </c>
      <c r="W25" s="20" t="e">
        <f>Table156712[[#This Row],[Total Cost Per Serving (N+P)/I]]*Table156712[[#This Row],[Estimated Servings Annual]]</f>
        <v>#DIV/0!</v>
      </c>
    </row>
    <row r="26" spans="1:23" ht="15.75" thickBot="1" x14ac:dyDescent="0.3">
      <c r="A26" s="40" t="s">
        <v>79</v>
      </c>
      <c r="B26" s="8" t="s">
        <v>82</v>
      </c>
      <c r="C26" s="9" t="s">
        <v>13</v>
      </c>
      <c r="D26" s="9"/>
      <c r="E26" s="9"/>
      <c r="F26" s="9"/>
      <c r="G26" s="9"/>
      <c r="H26" s="9"/>
      <c r="I26" s="9"/>
      <c r="J26" s="94">
        <v>600000</v>
      </c>
      <c r="K26" s="9"/>
      <c r="L26" s="9"/>
      <c r="M26" s="9"/>
      <c r="N26" s="9"/>
      <c r="O26" s="9"/>
      <c r="P26" s="9"/>
      <c r="Q26" s="111"/>
      <c r="R26" s="106">
        <f>(Table156712[[#This Row],[Commercial Bid Price per case for NOI ($)]]-Table156712[[#This Row],[Pass-Thru Value per case ($)]])+Table156712[[#This Row],[Region 1: Fixed Fee Per Case ($)]]</f>
        <v>0</v>
      </c>
      <c r="S26" s="21" t="e">
        <f>(Table156712[[#This Row],[Commercial Bid Price per case for NOI ($)]]+Table156712[[#This Row],[Region 1: Fixed Fee Per Case ($)]])/Table156712[[#This Row],['# of CN Servings per case]]</f>
        <v>#DIV/0!</v>
      </c>
      <c r="T26" s="120" t="e">
        <f>Table156712[[#This Row],[Total Cost Per Serving (N+O)/I]]*Table156712[[#This Row],[Estimated Servings Annual]]</f>
        <v>#DIV/0!</v>
      </c>
      <c r="U26" s="106">
        <f>(Table156712[[#This Row],[Commercial Bid Price per case for NOI ($)]]-Table156712[[#This Row],[Pass-Thru Value per case ($)]])+Table156712[[#This Row],[Region 2: Fixed Fee Per Case ($)]]</f>
        <v>0</v>
      </c>
      <c r="V26" s="25" t="e">
        <f>(Table156712[[#This Row],[Commercial Bid Price per case for NOI ($)]]+Table156712[[#This Row],[Region 2: Fixed Fee Per Case ($)]])/Table156712[[#This Row],['# of CN Servings per case]]</f>
        <v>#DIV/0!</v>
      </c>
      <c r="W26" s="23" t="e">
        <f>Table156712[[#This Row],[Total Cost Per Serving (N+P)/I]]*Table156712[[#This Row],[Estimated Servings Annual]]</f>
        <v>#DIV/0!</v>
      </c>
    </row>
    <row r="27" spans="1:23" x14ac:dyDescent="0.25">
      <c r="A27" s="39" t="s">
        <v>79</v>
      </c>
      <c r="B27" s="2" t="s">
        <v>83</v>
      </c>
      <c r="C27" s="3" t="s">
        <v>28</v>
      </c>
      <c r="D27" s="4"/>
      <c r="E27" s="4"/>
      <c r="F27" s="4"/>
      <c r="G27" s="4"/>
      <c r="H27" s="4"/>
      <c r="I27" s="4"/>
      <c r="J27" s="92">
        <v>240000</v>
      </c>
      <c r="K27" s="4"/>
      <c r="L27" s="4"/>
      <c r="M27" s="4"/>
      <c r="N27" s="4"/>
      <c r="O27" s="4"/>
      <c r="P27" s="4"/>
      <c r="Q27" s="109"/>
      <c r="R27" s="104">
        <f>(Table156712[[#This Row],[Commercial Bid Price per case for NOI ($)]]-Table156712[[#This Row],[Pass-Thru Value per case ($)]])+Table156712[[#This Row],[Region 1: Fixed Fee Per Case ($)]]</f>
        <v>0</v>
      </c>
      <c r="S27" s="15" t="e">
        <f>(Table156712[[#This Row],[Commercial Bid Price per case for NOI ($)]]+Table156712[[#This Row],[Region 1: Fixed Fee Per Case ($)]])/Table156712[[#This Row],['# of CN Servings per case]]</f>
        <v>#DIV/0!</v>
      </c>
      <c r="T27" s="115" t="e">
        <f>Table156712[[#This Row],[Total Cost Per Serving (N+O)/I]]*Table156712[[#This Row],[Estimated Servings Annual]]</f>
        <v>#DIV/0!</v>
      </c>
      <c r="U27" s="104">
        <f>(Table156712[[#This Row],[Commercial Bid Price per case for NOI ($)]]-Table156712[[#This Row],[Pass-Thru Value per case ($)]])+Table156712[[#This Row],[Region 2: Fixed Fee Per Case ($)]]</f>
        <v>0</v>
      </c>
      <c r="V27" s="31" t="e">
        <f>(Table156712[[#This Row],[Commercial Bid Price per case for NOI ($)]]+Table156712[[#This Row],[Region 2: Fixed Fee Per Case ($)]])/Table156712[[#This Row],['# of CN Servings per case]]</f>
        <v>#DIV/0!</v>
      </c>
      <c r="W27" s="17" t="e">
        <f>Table156712[[#This Row],[Total Cost Per Serving (N+P)/I]]*Table156712[[#This Row],[Estimated Servings Annual]]</f>
        <v>#DIV/0!</v>
      </c>
    </row>
    <row r="28" spans="1:23" x14ac:dyDescent="0.25">
      <c r="A28" s="39" t="s">
        <v>79</v>
      </c>
      <c r="B28" s="5" t="s">
        <v>83</v>
      </c>
      <c r="C28" s="6" t="s">
        <v>28</v>
      </c>
      <c r="D28" s="7"/>
      <c r="E28" s="7"/>
      <c r="F28" s="7"/>
      <c r="G28" s="7"/>
      <c r="H28" s="7"/>
      <c r="I28" s="7"/>
      <c r="J28" s="93">
        <v>240000</v>
      </c>
      <c r="K28" s="7"/>
      <c r="L28" s="7"/>
      <c r="M28" s="7"/>
      <c r="N28" s="7"/>
      <c r="O28" s="7"/>
      <c r="P28" s="7"/>
      <c r="Q28" s="110"/>
      <c r="R28" s="105">
        <f>(Table156712[[#This Row],[Commercial Bid Price per case for NOI ($)]]-Table156712[[#This Row],[Pass-Thru Value per case ($)]])+Table156712[[#This Row],[Region 1: Fixed Fee Per Case ($)]]</f>
        <v>0</v>
      </c>
      <c r="S28" s="18" t="e">
        <f>(Table156712[[#This Row],[Commercial Bid Price per case for NOI ($)]]+Table156712[[#This Row],[Region 1: Fixed Fee Per Case ($)]])/Table156712[[#This Row],['# of CN Servings per case]]</f>
        <v>#DIV/0!</v>
      </c>
      <c r="T28" s="118" t="e">
        <f>Table156712[[#This Row],[Total Cost Per Serving (N+O)/I]]*Table156712[[#This Row],[Estimated Servings Annual]]</f>
        <v>#DIV/0!</v>
      </c>
      <c r="U28" s="105">
        <f>(Table156712[[#This Row],[Commercial Bid Price per case for NOI ($)]]-Table156712[[#This Row],[Pass-Thru Value per case ($)]])+Table156712[[#This Row],[Region 2: Fixed Fee Per Case ($)]]</f>
        <v>0</v>
      </c>
      <c r="V28" s="24" t="e">
        <f>(Table156712[[#This Row],[Commercial Bid Price per case for NOI ($)]]+Table156712[[#This Row],[Region 2: Fixed Fee Per Case ($)]])/Table156712[[#This Row],['# of CN Servings per case]]</f>
        <v>#DIV/0!</v>
      </c>
      <c r="W28" s="20" t="e">
        <f>Table156712[[#This Row],[Total Cost Per Serving (N+P)/I]]*Table156712[[#This Row],[Estimated Servings Annual]]</f>
        <v>#DIV/0!</v>
      </c>
    </row>
    <row r="29" spans="1:23" x14ac:dyDescent="0.25">
      <c r="A29" s="39" t="s">
        <v>79</v>
      </c>
      <c r="B29" s="5" t="s">
        <v>83</v>
      </c>
      <c r="C29" s="6" t="s">
        <v>84</v>
      </c>
      <c r="D29" s="7"/>
      <c r="E29" s="7"/>
      <c r="F29" s="7"/>
      <c r="G29" s="7"/>
      <c r="H29" s="7"/>
      <c r="I29" s="7"/>
      <c r="J29" s="93">
        <v>240000</v>
      </c>
      <c r="K29" s="7"/>
      <c r="L29" s="7"/>
      <c r="M29" s="7"/>
      <c r="N29" s="7"/>
      <c r="O29" s="7"/>
      <c r="P29" s="7"/>
      <c r="Q29" s="110"/>
      <c r="R29" s="105">
        <f>(Table156712[[#This Row],[Commercial Bid Price per case for NOI ($)]]-Table156712[[#This Row],[Pass-Thru Value per case ($)]])+Table156712[[#This Row],[Region 1: Fixed Fee Per Case ($)]]</f>
        <v>0</v>
      </c>
      <c r="S29" s="18" t="e">
        <f>(Table156712[[#This Row],[Commercial Bid Price per case for NOI ($)]]+Table156712[[#This Row],[Region 1: Fixed Fee Per Case ($)]])/Table156712[[#This Row],['# of CN Servings per case]]</f>
        <v>#DIV/0!</v>
      </c>
      <c r="T29" s="118" t="e">
        <f>Table156712[[#This Row],[Total Cost Per Serving (N+O)/I]]*Table156712[[#This Row],[Estimated Servings Annual]]</f>
        <v>#DIV/0!</v>
      </c>
      <c r="U29" s="105">
        <f>(Table156712[[#This Row],[Commercial Bid Price per case for NOI ($)]]-Table156712[[#This Row],[Pass-Thru Value per case ($)]])+Table156712[[#This Row],[Region 2: Fixed Fee Per Case ($)]]</f>
        <v>0</v>
      </c>
      <c r="V29" s="24" t="e">
        <f>(Table156712[[#This Row],[Commercial Bid Price per case for NOI ($)]]+Table156712[[#This Row],[Region 2: Fixed Fee Per Case ($)]])/Table156712[[#This Row],['# of CN Servings per case]]</f>
        <v>#DIV/0!</v>
      </c>
      <c r="W29" s="20" t="e">
        <f>Table156712[[#This Row],[Total Cost Per Serving (N+P)/I]]*Table156712[[#This Row],[Estimated Servings Annual]]</f>
        <v>#DIV/0!</v>
      </c>
    </row>
    <row r="30" spans="1:23" x14ac:dyDescent="0.25">
      <c r="A30" s="39" t="s">
        <v>79</v>
      </c>
      <c r="B30" s="5" t="s">
        <v>83</v>
      </c>
      <c r="C30" s="6" t="s">
        <v>84</v>
      </c>
      <c r="D30" s="7"/>
      <c r="E30" s="7"/>
      <c r="F30" s="7"/>
      <c r="G30" s="7"/>
      <c r="H30" s="7"/>
      <c r="I30" s="7"/>
      <c r="J30" s="93">
        <v>240000</v>
      </c>
      <c r="K30" s="7"/>
      <c r="L30" s="7"/>
      <c r="M30" s="7"/>
      <c r="N30" s="7"/>
      <c r="O30" s="7"/>
      <c r="P30" s="7"/>
      <c r="Q30" s="110"/>
      <c r="R30" s="105">
        <f>(Table156712[[#This Row],[Commercial Bid Price per case for NOI ($)]]-Table156712[[#This Row],[Pass-Thru Value per case ($)]])+Table156712[[#This Row],[Region 1: Fixed Fee Per Case ($)]]</f>
        <v>0</v>
      </c>
      <c r="S30" s="18" t="e">
        <f>(Table156712[[#This Row],[Commercial Bid Price per case for NOI ($)]]+Table156712[[#This Row],[Region 1: Fixed Fee Per Case ($)]])/Table156712[[#This Row],['# of CN Servings per case]]</f>
        <v>#DIV/0!</v>
      </c>
      <c r="T30" s="118" t="e">
        <f>Table156712[[#This Row],[Total Cost Per Serving (N+O)/I]]*Table156712[[#This Row],[Estimated Servings Annual]]</f>
        <v>#DIV/0!</v>
      </c>
      <c r="U30" s="105">
        <f>(Table156712[[#This Row],[Commercial Bid Price per case for NOI ($)]]-Table156712[[#This Row],[Pass-Thru Value per case ($)]])+Table156712[[#This Row],[Region 2: Fixed Fee Per Case ($)]]</f>
        <v>0</v>
      </c>
      <c r="V30" s="24" t="e">
        <f>(Table156712[[#This Row],[Commercial Bid Price per case for NOI ($)]]+Table156712[[#This Row],[Region 2: Fixed Fee Per Case ($)]])/Table156712[[#This Row],['# of CN Servings per case]]</f>
        <v>#DIV/0!</v>
      </c>
      <c r="W30" s="20" t="e">
        <f>Table156712[[#This Row],[Total Cost Per Serving (N+P)/I]]*Table156712[[#This Row],[Estimated Servings Annual]]</f>
        <v>#DIV/0!</v>
      </c>
    </row>
    <row r="31" spans="1:23" x14ac:dyDescent="0.25">
      <c r="A31" s="39" t="s">
        <v>79</v>
      </c>
      <c r="B31" s="5" t="s">
        <v>83</v>
      </c>
      <c r="C31" s="6" t="s">
        <v>78</v>
      </c>
      <c r="D31" s="7"/>
      <c r="E31" s="7"/>
      <c r="F31" s="7"/>
      <c r="G31" s="7"/>
      <c r="H31" s="7"/>
      <c r="I31" s="7"/>
      <c r="J31" s="93">
        <v>240000</v>
      </c>
      <c r="K31" s="7"/>
      <c r="L31" s="7"/>
      <c r="M31" s="7"/>
      <c r="N31" s="7"/>
      <c r="O31" s="7"/>
      <c r="P31" s="7"/>
      <c r="Q31" s="110"/>
      <c r="R31" s="105">
        <f>(Table156712[[#This Row],[Commercial Bid Price per case for NOI ($)]]-Table156712[[#This Row],[Pass-Thru Value per case ($)]])+Table156712[[#This Row],[Region 1: Fixed Fee Per Case ($)]]</f>
        <v>0</v>
      </c>
      <c r="S31" s="18" t="e">
        <f>(Table156712[[#This Row],[Commercial Bid Price per case for NOI ($)]]+Table156712[[#This Row],[Region 1: Fixed Fee Per Case ($)]])/Table156712[[#This Row],['# of CN Servings per case]]</f>
        <v>#DIV/0!</v>
      </c>
      <c r="T31" s="118" t="e">
        <f>Table156712[[#This Row],[Total Cost Per Serving (N+O)/I]]*Table156712[[#This Row],[Estimated Servings Annual]]</f>
        <v>#DIV/0!</v>
      </c>
      <c r="U31" s="105">
        <f>(Table156712[[#This Row],[Commercial Bid Price per case for NOI ($)]]-Table156712[[#This Row],[Pass-Thru Value per case ($)]])+Table156712[[#This Row],[Region 2: Fixed Fee Per Case ($)]]</f>
        <v>0</v>
      </c>
      <c r="V31" s="24" t="e">
        <f>(Table156712[[#This Row],[Commercial Bid Price per case for NOI ($)]]+Table156712[[#This Row],[Region 2: Fixed Fee Per Case ($)]])/Table156712[[#This Row],['# of CN Servings per case]]</f>
        <v>#DIV/0!</v>
      </c>
      <c r="W31" s="20" t="e">
        <f>Table156712[[#This Row],[Total Cost Per Serving (N+P)/I]]*Table156712[[#This Row],[Estimated Servings Annual]]</f>
        <v>#DIV/0!</v>
      </c>
    </row>
    <row r="32" spans="1:23" x14ac:dyDescent="0.25">
      <c r="A32" s="39" t="s">
        <v>79</v>
      </c>
      <c r="B32" s="5" t="s">
        <v>83</v>
      </c>
      <c r="C32" s="6" t="s">
        <v>78</v>
      </c>
      <c r="D32" s="7"/>
      <c r="E32" s="7"/>
      <c r="F32" s="7"/>
      <c r="G32" s="7"/>
      <c r="H32" s="7"/>
      <c r="I32" s="7"/>
      <c r="J32" s="93">
        <v>240000</v>
      </c>
      <c r="K32" s="7"/>
      <c r="L32" s="7"/>
      <c r="M32" s="7"/>
      <c r="N32" s="7"/>
      <c r="O32" s="7"/>
      <c r="P32" s="7"/>
      <c r="Q32" s="110"/>
      <c r="R32" s="105">
        <f>(Table156712[[#This Row],[Commercial Bid Price per case for NOI ($)]]-Table156712[[#This Row],[Pass-Thru Value per case ($)]])+Table156712[[#This Row],[Region 1: Fixed Fee Per Case ($)]]</f>
        <v>0</v>
      </c>
      <c r="S32" s="18" t="e">
        <f>(Table156712[[#This Row],[Commercial Bid Price per case for NOI ($)]]+Table156712[[#This Row],[Region 1: Fixed Fee Per Case ($)]])/Table156712[[#This Row],['# of CN Servings per case]]</f>
        <v>#DIV/0!</v>
      </c>
      <c r="T32" s="118" t="e">
        <f>Table156712[[#This Row],[Total Cost Per Serving (N+O)/I]]*Table156712[[#This Row],[Estimated Servings Annual]]</f>
        <v>#DIV/0!</v>
      </c>
      <c r="U32" s="105">
        <f>(Table156712[[#This Row],[Commercial Bid Price per case for NOI ($)]]-Table156712[[#This Row],[Pass-Thru Value per case ($)]])+Table156712[[#This Row],[Region 2: Fixed Fee Per Case ($)]]</f>
        <v>0</v>
      </c>
      <c r="V32" s="24" t="e">
        <f>(Table156712[[#This Row],[Commercial Bid Price per case for NOI ($)]]+Table156712[[#This Row],[Region 2: Fixed Fee Per Case ($)]])/Table156712[[#This Row],['# of CN Servings per case]]</f>
        <v>#DIV/0!</v>
      </c>
      <c r="W32" s="20" t="e">
        <f>Table156712[[#This Row],[Total Cost Per Serving (N+P)/I]]*Table156712[[#This Row],[Estimated Servings Annual]]</f>
        <v>#DIV/0!</v>
      </c>
    </row>
    <row r="33" spans="1:23" x14ac:dyDescent="0.25">
      <c r="A33" s="39" t="s">
        <v>79</v>
      </c>
      <c r="B33" s="5" t="s">
        <v>83</v>
      </c>
      <c r="C33" s="7" t="s">
        <v>13</v>
      </c>
      <c r="D33" s="7"/>
      <c r="E33" s="7"/>
      <c r="F33" s="7"/>
      <c r="G33" s="7"/>
      <c r="H33" s="7"/>
      <c r="I33" s="7"/>
      <c r="J33" s="93">
        <v>240000</v>
      </c>
      <c r="K33" s="7"/>
      <c r="L33" s="7"/>
      <c r="M33" s="7"/>
      <c r="N33" s="7"/>
      <c r="O33" s="7"/>
      <c r="P33" s="7"/>
      <c r="Q33" s="110"/>
      <c r="R33" s="105">
        <f>(Table156712[[#This Row],[Commercial Bid Price per case for NOI ($)]]-Table156712[[#This Row],[Pass-Thru Value per case ($)]])+Table156712[[#This Row],[Region 1: Fixed Fee Per Case ($)]]</f>
        <v>0</v>
      </c>
      <c r="S33" s="18" t="e">
        <f>(Table156712[[#This Row],[Commercial Bid Price per case for NOI ($)]]+Table156712[[#This Row],[Region 1: Fixed Fee Per Case ($)]])/Table156712[[#This Row],['# of CN Servings per case]]</f>
        <v>#DIV/0!</v>
      </c>
      <c r="T33" s="118" t="e">
        <f>Table156712[[#This Row],[Total Cost Per Serving (N+O)/I]]*Table156712[[#This Row],[Estimated Servings Annual]]</f>
        <v>#DIV/0!</v>
      </c>
      <c r="U33" s="105">
        <f>(Table156712[[#This Row],[Commercial Bid Price per case for NOI ($)]]-Table156712[[#This Row],[Pass-Thru Value per case ($)]])+Table156712[[#This Row],[Region 2: Fixed Fee Per Case ($)]]</f>
        <v>0</v>
      </c>
      <c r="V33" s="24" t="e">
        <f>(Table156712[[#This Row],[Commercial Bid Price per case for NOI ($)]]+Table156712[[#This Row],[Region 2: Fixed Fee Per Case ($)]])/Table156712[[#This Row],['# of CN Servings per case]]</f>
        <v>#DIV/0!</v>
      </c>
      <c r="W33" s="20" t="e">
        <f>Table156712[[#This Row],[Total Cost Per Serving (N+P)/I]]*Table156712[[#This Row],[Estimated Servings Annual]]</f>
        <v>#DIV/0!</v>
      </c>
    </row>
    <row r="34" spans="1:23" x14ac:dyDescent="0.25">
      <c r="A34" s="39" t="s">
        <v>79</v>
      </c>
      <c r="B34" s="5" t="s">
        <v>83</v>
      </c>
      <c r="C34" s="7" t="s">
        <v>13</v>
      </c>
      <c r="D34" s="7"/>
      <c r="E34" s="7"/>
      <c r="F34" s="7"/>
      <c r="G34" s="7"/>
      <c r="H34" s="7"/>
      <c r="I34" s="7"/>
      <c r="J34" s="93">
        <v>240000</v>
      </c>
      <c r="K34" s="7"/>
      <c r="L34" s="7"/>
      <c r="M34" s="7"/>
      <c r="N34" s="7"/>
      <c r="O34" s="7"/>
      <c r="P34" s="7"/>
      <c r="Q34" s="110"/>
      <c r="R34" s="105">
        <f>(Table156712[[#This Row],[Commercial Bid Price per case for NOI ($)]]-Table156712[[#This Row],[Pass-Thru Value per case ($)]])+Table156712[[#This Row],[Region 1: Fixed Fee Per Case ($)]]</f>
        <v>0</v>
      </c>
      <c r="S34" s="18" t="e">
        <f>(Table156712[[#This Row],[Commercial Bid Price per case for NOI ($)]]+Table156712[[#This Row],[Region 1: Fixed Fee Per Case ($)]])/Table156712[[#This Row],['# of CN Servings per case]]</f>
        <v>#DIV/0!</v>
      </c>
      <c r="T34" s="118" t="e">
        <f>Table156712[[#This Row],[Total Cost Per Serving (N+O)/I]]*Table156712[[#This Row],[Estimated Servings Annual]]</f>
        <v>#DIV/0!</v>
      </c>
      <c r="U34" s="105">
        <f>(Table156712[[#This Row],[Commercial Bid Price per case for NOI ($)]]-Table156712[[#This Row],[Pass-Thru Value per case ($)]])+Table156712[[#This Row],[Region 2: Fixed Fee Per Case ($)]]</f>
        <v>0</v>
      </c>
      <c r="V34" s="24" t="e">
        <f>(Table156712[[#This Row],[Commercial Bid Price per case for NOI ($)]]+Table156712[[#This Row],[Region 2: Fixed Fee Per Case ($)]])/Table156712[[#This Row],['# of CN Servings per case]]</f>
        <v>#DIV/0!</v>
      </c>
      <c r="W34" s="20" t="e">
        <f>Table156712[[#This Row],[Total Cost Per Serving (N+P)/I]]*Table156712[[#This Row],[Estimated Servings Annual]]</f>
        <v>#DIV/0!</v>
      </c>
    </row>
    <row r="35" spans="1:23" x14ac:dyDescent="0.25">
      <c r="A35" s="39" t="s">
        <v>79</v>
      </c>
      <c r="B35" s="5" t="s">
        <v>83</v>
      </c>
      <c r="C35" s="7" t="s">
        <v>13</v>
      </c>
      <c r="D35" s="7"/>
      <c r="E35" s="7"/>
      <c r="F35" s="7"/>
      <c r="G35" s="7"/>
      <c r="H35" s="7"/>
      <c r="I35" s="7"/>
      <c r="J35" s="93">
        <v>240000</v>
      </c>
      <c r="K35" s="7"/>
      <c r="L35" s="7"/>
      <c r="M35" s="7"/>
      <c r="N35" s="7"/>
      <c r="O35" s="7"/>
      <c r="P35" s="7"/>
      <c r="Q35" s="110"/>
      <c r="R35" s="105">
        <f>(Table156712[[#This Row],[Commercial Bid Price per case for NOI ($)]]-Table156712[[#This Row],[Pass-Thru Value per case ($)]])+Table156712[[#This Row],[Region 1: Fixed Fee Per Case ($)]]</f>
        <v>0</v>
      </c>
      <c r="S35" s="18" t="e">
        <f>(Table156712[[#This Row],[Commercial Bid Price per case for NOI ($)]]+Table156712[[#This Row],[Region 1: Fixed Fee Per Case ($)]])/Table156712[[#This Row],['# of CN Servings per case]]</f>
        <v>#DIV/0!</v>
      </c>
      <c r="T35" s="118" t="e">
        <f>Table156712[[#This Row],[Total Cost Per Serving (N+O)/I]]*Table156712[[#This Row],[Estimated Servings Annual]]</f>
        <v>#DIV/0!</v>
      </c>
      <c r="U35" s="105">
        <f>(Table156712[[#This Row],[Commercial Bid Price per case for NOI ($)]]-Table156712[[#This Row],[Pass-Thru Value per case ($)]])+Table156712[[#This Row],[Region 2: Fixed Fee Per Case ($)]]</f>
        <v>0</v>
      </c>
      <c r="V35" s="24" t="e">
        <f>(Table156712[[#This Row],[Commercial Bid Price per case for NOI ($)]]+Table156712[[#This Row],[Region 2: Fixed Fee Per Case ($)]])/Table156712[[#This Row],['# of CN Servings per case]]</f>
        <v>#DIV/0!</v>
      </c>
      <c r="W35" s="20" t="e">
        <f>Table156712[[#This Row],[Total Cost Per Serving (N+P)/I]]*Table156712[[#This Row],[Estimated Servings Annual]]</f>
        <v>#DIV/0!</v>
      </c>
    </row>
    <row r="36" spans="1:23" ht="15.75" thickBot="1" x14ac:dyDescent="0.3">
      <c r="A36" s="41" t="s">
        <v>79</v>
      </c>
      <c r="B36" s="8" t="s">
        <v>83</v>
      </c>
      <c r="C36" s="9" t="s">
        <v>13</v>
      </c>
      <c r="D36" s="9"/>
      <c r="E36" s="9"/>
      <c r="F36" s="9"/>
      <c r="G36" s="9"/>
      <c r="H36" s="9"/>
      <c r="I36" s="9"/>
      <c r="J36" s="94">
        <v>240000</v>
      </c>
      <c r="K36" s="9"/>
      <c r="L36" s="9"/>
      <c r="M36" s="9"/>
      <c r="N36" s="9"/>
      <c r="O36" s="9"/>
      <c r="P36" s="9"/>
      <c r="Q36" s="111"/>
      <c r="R36" s="106">
        <f>(Table156712[[#This Row],[Commercial Bid Price per case for NOI ($)]]-Table156712[[#This Row],[Pass-Thru Value per case ($)]])+Table156712[[#This Row],[Region 1: Fixed Fee Per Case ($)]]</f>
        <v>0</v>
      </c>
      <c r="S36" s="21" t="e">
        <f>(Table156712[[#This Row],[Commercial Bid Price per case for NOI ($)]]+Table156712[[#This Row],[Region 1: Fixed Fee Per Case ($)]])/Table156712[[#This Row],['# of CN Servings per case]]</f>
        <v>#DIV/0!</v>
      </c>
      <c r="T36" s="120" t="e">
        <f>Table156712[[#This Row],[Total Cost Per Serving (N+O)/I]]*Table156712[[#This Row],[Estimated Servings Annual]]</f>
        <v>#DIV/0!</v>
      </c>
      <c r="U36" s="106">
        <f>(Table156712[[#This Row],[Commercial Bid Price per case for NOI ($)]]-Table156712[[#This Row],[Pass-Thru Value per case ($)]])+Table156712[[#This Row],[Region 2: Fixed Fee Per Case ($)]]</f>
        <v>0</v>
      </c>
      <c r="V36" s="25" t="e">
        <f>(Table156712[[#This Row],[Commercial Bid Price per case for NOI ($)]]+Table156712[[#This Row],[Region 2: Fixed Fee Per Case ($)]])/Table156712[[#This Row],['# of CN Servings per case]]</f>
        <v>#DIV/0!</v>
      </c>
      <c r="W36" s="23" t="e">
        <f>Table156712[[#This Row],[Total Cost Per Serving (N+P)/I]]*Table156712[[#This Row],[Estimated Servings Annual]]</f>
        <v>#DIV/0!</v>
      </c>
    </row>
  </sheetData>
  <mergeCells count="3">
    <mergeCell ref="E1:G1"/>
    <mergeCell ref="R1:T1"/>
    <mergeCell ref="U1:W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0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O2" sqref="O2:W2"/>
    </sheetView>
  </sheetViews>
  <sheetFormatPr defaultRowHeight="15" x14ac:dyDescent="0.25"/>
  <cols>
    <col min="1" max="1" width="11.140625" bestFit="1" customWidth="1"/>
    <col min="2" max="2" width="25.28515625" style="1" bestFit="1" customWidth="1"/>
    <col min="3" max="3" width="22" bestFit="1" customWidth="1"/>
    <col min="4" max="4" width="21" bestFit="1" customWidth="1"/>
    <col min="5" max="5" width="32" customWidth="1"/>
    <col min="6" max="6" width="15.140625" bestFit="1" customWidth="1"/>
    <col min="7" max="7" width="14.28515625" bestFit="1" customWidth="1"/>
    <col min="8" max="9" width="17.5703125" bestFit="1" customWidth="1"/>
    <col min="10" max="10" width="16.42578125" style="90" bestFit="1" customWidth="1"/>
    <col min="11" max="11" width="22.7109375" bestFit="1" customWidth="1"/>
    <col min="12" max="12" width="19.140625" bestFit="1" customWidth="1"/>
    <col min="13" max="13" width="18.5703125" bestFit="1" customWidth="1"/>
    <col min="14" max="14" width="15.42578125" bestFit="1" customWidth="1"/>
    <col min="15" max="15" width="15.140625" bestFit="1" customWidth="1"/>
    <col min="16" max="17" width="18.28515625" bestFit="1" customWidth="1"/>
    <col min="18" max="18" width="18.5703125" customWidth="1"/>
    <col min="19" max="20" width="14.85546875" customWidth="1"/>
    <col min="21" max="21" width="16.7109375" customWidth="1"/>
    <col min="22" max="23" width="14.85546875" customWidth="1"/>
  </cols>
  <sheetData>
    <row r="1" spans="1:23" x14ac:dyDescent="0.25">
      <c r="D1" s="1" t="s">
        <v>149</v>
      </c>
      <c r="E1" s="137" t="str">
        <f>Instructions!A2</f>
        <v xml:space="preserve"> </v>
      </c>
      <c r="F1" s="137"/>
      <c r="G1" s="137"/>
      <c r="R1" s="134" t="s">
        <v>167</v>
      </c>
      <c r="S1" s="135"/>
      <c r="T1" s="136"/>
      <c r="U1" s="134" t="s">
        <v>180</v>
      </c>
      <c r="V1" s="135"/>
      <c r="W1" s="136"/>
    </row>
    <row r="2" spans="1:23" s="1" customFormat="1" ht="45.75" thickBot="1" x14ac:dyDescent="0.3">
      <c r="A2" s="1" t="s">
        <v>14</v>
      </c>
      <c r="B2" s="1" t="s">
        <v>3</v>
      </c>
      <c r="C2" s="1" t="s">
        <v>23</v>
      </c>
      <c r="D2" s="1" t="s">
        <v>154</v>
      </c>
      <c r="E2" s="1" t="s">
        <v>0</v>
      </c>
      <c r="F2" s="1" t="s">
        <v>4</v>
      </c>
      <c r="G2" s="1" t="s">
        <v>20</v>
      </c>
      <c r="H2" s="1" t="s">
        <v>1</v>
      </c>
      <c r="I2" s="1" t="s">
        <v>5</v>
      </c>
      <c r="J2" s="91" t="s">
        <v>6</v>
      </c>
      <c r="K2" s="1" t="s">
        <v>2</v>
      </c>
      <c r="L2" s="1" t="s">
        <v>21</v>
      </c>
      <c r="M2" s="71" t="s">
        <v>153</v>
      </c>
      <c r="N2" s="1" t="s">
        <v>22</v>
      </c>
      <c r="O2" s="1" t="s">
        <v>165</v>
      </c>
      <c r="P2" s="1" t="s">
        <v>166</v>
      </c>
      <c r="Q2" s="1" t="s">
        <v>19</v>
      </c>
      <c r="R2" s="101" t="s">
        <v>162</v>
      </c>
      <c r="S2" s="102" t="s">
        <v>163</v>
      </c>
      <c r="T2" s="103" t="s">
        <v>171</v>
      </c>
      <c r="U2" s="101" t="s">
        <v>169</v>
      </c>
      <c r="V2" s="102" t="s">
        <v>170</v>
      </c>
      <c r="W2" s="103" t="s">
        <v>172</v>
      </c>
    </row>
    <row r="3" spans="1:23" x14ac:dyDescent="0.25">
      <c r="A3" s="37" t="s">
        <v>131</v>
      </c>
      <c r="B3" s="42" t="s">
        <v>132</v>
      </c>
      <c r="C3" s="3" t="s">
        <v>143</v>
      </c>
      <c r="D3" s="4"/>
      <c r="E3" s="4"/>
      <c r="F3" s="4"/>
      <c r="G3" s="4"/>
      <c r="H3" s="4"/>
      <c r="I3" s="4"/>
      <c r="J3" s="92">
        <v>2200000</v>
      </c>
      <c r="K3" s="4"/>
      <c r="L3" s="4"/>
      <c r="M3" s="4"/>
      <c r="N3" s="4"/>
      <c r="O3" s="4"/>
      <c r="P3" s="4"/>
      <c r="Q3" s="109"/>
      <c r="R3" s="104">
        <f>(Table1567123[[#This Row],[Commercial Bid Price per case for NOI ($)]]-Table1567123[[#This Row],[Pass-Thru Value per case ($)]])+Table1567123[[#This Row],[Region 1: Fixed Fee Per Case ($)]]</f>
        <v>0</v>
      </c>
      <c r="S3" s="15" t="e">
        <f>(Table1567123[[#This Row],[Commercial Bid Price per case for NOI ($)]]+Table1567123[[#This Row],[Region 1: Fixed Fee Per Case ($)]])/Table1567123[[#This Row],['# of CN Servings per case]]</f>
        <v>#DIV/0!</v>
      </c>
      <c r="T3" s="115" t="e">
        <f>Table1567123[[#This Row],[Total Cost Per Serving (N+O)/I]]*Table1567123[[#This Row],[Estimated Servings Annual]]</f>
        <v>#DIV/0!</v>
      </c>
      <c r="U3" s="104">
        <f>(Table1567123[[#This Row],[Commercial Bid Price per case for NOI ($)]]-Table1567123[[#This Row],[Pass-Thru Value per case ($)]])+Table1567123[[#This Row],[Region 2: Fixed Fee Per Case ($)]]</f>
        <v>0</v>
      </c>
      <c r="V3" s="16" t="e">
        <f>(Table1567123[[#This Row],[Commercial Bid Price per case for NOI ($)]]+Table1567123[[#This Row],[Region 2: Fixed Fee Per Case ($)]])/Table1567123[[#This Row],['# of CN Servings per case]]</f>
        <v>#DIV/0!</v>
      </c>
      <c r="W3" s="17" t="e">
        <f>Table1567123[[#This Row],[Total Cost Per Serving (N+P)/I]]*Table1567123[[#This Row],[Estimated Servings Annual]]</f>
        <v>#DIV/0!</v>
      </c>
    </row>
    <row r="4" spans="1:23" x14ac:dyDescent="0.25">
      <c r="A4" s="45" t="s">
        <v>131</v>
      </c>
      <c r="B4" s="43" t="s">
        <v>132</v>
      </c>
      <c r="C4" s="6" t="s">
        <v>143</v>
      </c>
      <c r="D4" s="7"/>
      <c r="E4" s="7"/>
      <c r="F4" s="7"/>
      <c r="G4" s="7"/>
      <c r="H4" s="7"/>
      <c r="I4" s="7"/>
      <c r="J4" s="93">
        <v>2200000</v>
      </c>
      <c r="K4" s="7"/>
      <c r="L4" s="7"/>
      <c r="M4" s="7"/>
      <c r="N4" s="7"/>
      <c r="O4" s="7"/>
      <c r="P4" s="7"/>
      <c r="Q4" s="110"/>
      <c r="R4" s="105">
        <f>(Table1567123[[#This Row],[Commercial Bid Price per case for NOI ($)]]-Table1567123[[#This Row],[Pass-Thru Value per case ($)]])+Table1567123[[#This Row],[Region 1: Fixed Fee Per Case ($)]]</f>
        <v>0</v>
      </c>
      <c r="S4" s="18" t="e">
        <f>(Table1567123[[#This Row],[Commercial Bid Price per case for NOI ($)]]+Table1567123[[#This Row],[Region 1: Fixed Fee Per Case ($)]])/Table1567123[[#This Row],['# of CN Servings per case]]</f>
        <v>#DIV/0!</v>
      </c>
      <c r="T4" s="118" t="e">
        <f>Table1567123[[#This Row],[Total Cost Per Serving (N+O)/I]]*Table1567123[[#This Row],[Estimated Servings Annual]]</f>
        <v>#DIV/0!</v>
      </c>
      <c r="U4" s="105">
        <f>(Table1567123[[#This Row],[Commercial Bid Price per case for NOI ($)]]-Table1567123[[#This Row],[Pass-Thru Value per case ($)]])+Table1567123[[#This Row],[Region 2: Fixed Fee Per Case ($)]]</f>
        <v>0</v>
      </c>
      <c r="V4" s="19" t="e">
        <f>(Table1567123[[#This Row],[Commercial Bid Price per case for NOI ($)]]+Table1567123[[#This Row],[Region 2: Fixed Fee Per Case ($)]])/Table1567123[[#This Row],['# of CN Servings per case]]</f>
        <v>#DIV/0!</v>
      </c>
      <c r="W4" s="20" t="e">
        <f>Table1567123[[#This Row],[Total Cost Per Serving (N+P)/I]]*Table1567123[[#This Row],[Estimated Servings Annual]]</f>
        <v>#DIV/0!</v>
      </c>
    </row>
    <row r="5" spans="1:23" x14ac:dyDescent="0.25">
      <c r="A5" s="45" t="s">
        <v>131</v>
      </c>
      <c r="B5" s="43" t="s">
        <v>132</v>
      </c>
      <c r="C5" s="6" t="s">
        <v>144</v>
      </c>
      <c r="D5" s="7"/>
      <c r="E5" s="7"/>
      <c r="F5" s="7"/>
      <c r="G5" s="7"/>
      <c r="H5" s="7"/>
      <c r="I5" s="7"/>
      <c r="J5" s="93">
        <v>2200000</v>
      </c>
      <c r="K5" s="7"/>
      <c r="L5" s="7"/>
      <c r="M5" s="7"/>
      <c r="N5" s="7"/>
      <c r="O5" s="7"/>
      <c r="P5" s="7"/>
      <c r="Q5" s="110"/>
      <c r="R5" s="105">
        <f>(Table1567123[[#This Row],[Commercial Bid Price per case for NOI ($)]]-Table1567123[[#This Row],[Pass-Thru Value per case ($)]])+Table1567123[[#This Row],[Region 1: Fixed Fee Per Case ($)]]</f>
        <v>0</v>
      </c>
      <c r="S5" s="18" t="e">
        <f>(Table1567123[[#This Row],[Commercial Bid Price per case for NOI ($)]]+Table1567123[[#This Row],[Region 1: Fixed Fee Per Case ($)]])/Table1567123[[#This Row],['# of CN Servings per case]]</f>
        <v>#DIV/0!</v>
      </c>
      <c r="T5" s="118" t="e">
        <f>Table1567123[[#This Row],[Total Cost Per Serving (N+O)/I]]*Table1567123[[#This Row],[Estimated Servings Annual]]</f>
        <v>#DIV/0!</v>
      </c>
      <c r="U5" s="105">
        <f>(Table1567123[[#This Row],[Commercial Bid Price per case for NOI ($)]]-Table1567123[[#This Row],[Pass-Thru Value per case ($)]])+Table1567123[[#This Row],[Region 2: Fixed Fee Per Case ($)]]</f>
        <v>0</v>
      </c>
      <c r="V5" s="19" t="e">
        <f>(Table1567123[[#This Row],[Commercial Bid Price per case for NOI ($)]]+Table1567123[[#This Row],[Region 2: Fixed Fee Per Case ($)]])/Table1567123[[#This Row],['# of CN Servings per case]]</f>
        <v>#DIV/0!</v>
      </c>
      <c r="W5" s="20" t="e">
        <f>Table1567123[[#This Row],[Total Cost Per Serving (N+P)/I]]*Table1567123[[#This Row],[Estimated Servings Annual]]</f>
        <v>#DIV/0!</v>
      </c>
    </row>
    <row r="6" spans="1:23" x14ac:dyDescent="0.25">
      <c r="A6" s="45" t="s">
        <v>131</v>
      </c>
      <c r="B6" s="43" t="s">
        <v>132</v>
      </c>
      <c r="C6" s="6" t="s">
        <v>144</v>
      </c>
      <c r="D6" s="7"/>
      <c r="E6" s="7"/>
      <c r="F6" s="7"/>
      <c r="G6" s="7"/>
      <c r="H6" s="7"/>
      <c r="I6" s="7"/>
      <c r="J6" s="93">
        <v>2200000</v>
      </c>
      <c r="K6" s="7"/>
      <c r="L6" s="7"/>
      <c r="M6" s="7"/>
      <c r="N6" s="7"/>
      <c r="O6" s="7"/>
      <c r="P6" s="7"/>
      <c r="Q6" s="110"/>
      <c r="R6" s="105">
        <f>(Table1567123[[#This Row],[Commercial Bid Price per case for NOI ($)]]-Table1567123[[#This Row],[Pass-Thru Value per case ($)]])+Table1567123[[#This Row],[Region 1: Fixed Fee Per Case ($)]]</f>
        <v>0</v>
      </c>
      <c r="S6" s="18" t="e">
        <f>(Table1567123[[#This Row],[Commercial Bid Price per case for NOI ($)]]+Table1567123[[#This Row],[Region 1: Fixed Fee Per Case ($)]])/Table1567123[[#This Row],['# of CN Servings per case]]</f>
        <v>#DIV/0!</v>
      </c>
      <c r="T6" s="118" t="e">
        <f>Table1567123[[#This Row],[Total Cost Per Serving (N+O)/I]]*Table1567123[[#This Row],[Estimated Servings Annual]]</f>
        <v>#DIV/0!</v>
      </c>
      <c r="U6" s="105">
        <f>(Table1567123[[#This Row],[Commercial Bid Price per case for NOI ($)]]-Table1567123[[#This Row],[Pass-Thru Value per case ($)]])+Table1567123[[#This Row],[Region 2: Fixed Fee Per Case ($)]]</f>
        <v>0</v>
      </c>
      <c r="V6" s="19" t="e">
        <f>(Table1567123[[#This Row],[Commercial Bid Price per case for NOI ($)]]+Table1567123[[#This Row],[Region 2: Fixed Fee Per Case ($)]])/Table1567123[[#This Row],['# of CN Servings per case]]</f>
        <v>#DIV/0!</v>
      </c>
      <c r="W6" s="20" t="e">
        <f>Table1567123[[#This Row],[Total Cost Per Serving (N+P)/I]]*Table1567123[[#This Row],[Estimated Servings Annual]]</f>
        <v>#DIV/0!</v>
      </c>
    </row>
    <row r="7" spans="1:23" x14ac:dyDescent="0.25">
      <c r="A7" s="45" t="s">
        <v>131</v>
      </c>
      <c r="B7" s="43" t="s">
        <v>132</v>
      </c>
      <c r="C7" s="7" t="s">
        <v>13</v>
      </c>
      <c r="D7" s="7"/>
      <c r="E7" s="7"/>
      <c r="F7" s="7"/>
      <c r="G7" s="7"/>
      <c r="H7" s="7"/>
      <c r="I7" s="7"/>
      <c r="J7" s="93">
        <v>2200000</v>
      </c>
      <c r="K7" s="7"/>
      <c r="L7" s="7"/>
      <c r="M7" s="7"/>
      <c r="N7" s="7"/>
      <c r="O7" s="7"/>
      <c r="P7" s="7"/>
      <c r="Q7" s="110"/>
      <c r="R7" s="105">
        <f>(Table1567123[[#This Row],[Commercial Bid Price per case for NOI ($)]]-Table1567123[[#This Row],[Pass-Thru Value per case ($)]])+Table1567123[[#This Row],[Region 1: Fixed Fee Per Case ($)]]</f>
        <v>0</v>
      </c>
      <c r="S7" s="18" t="e">
        <f>(Table1567123[[#This Row],[Commercial Bid Price per case for NOI ($)]]+Table1567123[[#This Row],[Region 1: Fixed Fee Per Case ($)]])/Table1567123[[#This Row],['# of CN Servings per case]]</f>
        <v>#DIV/0!</v>
      </c>
      <c r="T7" s="118" t="e">
        <f>Table1567123[[#This Row],[Total Cost Per Serving (N+O)/I]]*Table1567123[[#This Row],[Estimated Servings Annual]]</f>
        <v>#DIV/0!</v>
      </c>
      <c r="U7" s="105">
        <f>(Table1567123[[#This Row],[Commercial Bid Price per case for NOI ($)]]-Table1567123[[#This Row],[Pass-Thru Value per case ($)]])+Table1567123[[#This Row],[Region 2: Fixed Fee Per Case ($)]]</f>
        <v>0</v>
      </c>
      <c r="V7" s="19" t="e">
        <f>(Table1567123[[#This Row],[Commercial Bid Price per case for NOI ($)]]+Table1567123[[#This Row],[Region 2: Fixed Fee Per Case ($)]])/Table1567123[[#This Row],['# of CN Servings per case]]</f>
        <v>#DIV/0!</v>
      </c>
      <c r="W7" s="20" t="e">
        <f>Table1567123[[#This Row],[Total Cost Per Serving (N+P)/I]]*Table1567123[[#This Row],[Estimated Servings Annual]]</f>
        <v>#DIV/0!</v>
      </c>
    </row>
    <row r="8" spans="1:23" x14ac:dyDescent="0.25">
      <c r="A8" s="45" t="s">
        <v>131</v>
      </c>
      <c r="B8" s="43" t="s">
        <v>132</v>
      </c>
      <c r="C8" s="7" t="s">
        <v>13</v>
      </c>
      <c r="D8" s="7"/>
      <c r="E8" s="7"/>
      <c r="F8" s="7"/>
      <c r="G8" s="7"/>
      <c r="H8" s="7"/>
      <c r="I8" s="7"/>
      <c r="J8" s="93">
        <v>2200000</v>
      </c>
      <c r="K8" s="7"/>
      <c r="L8" s="7"/>
      <c r="M8" s="7"/>
      <c r="N8" s="7"/>
      <c r="O8" s="7"/>
      <c r="P8" s="7"/>
      <c r="Q8" s="110"/>
      <c r="R8" s="105">
        <f>(Table1567123[[#This Row],[Commercial Bid Price per case for NOI ($)]]-Table1567123[[#This Row],[Pass-Thru Value per case ($)]])+Table1567123[[#This Row],[Region 1: Fixed Fee Per Case ($)]]</f>
        <v>0</v>
      </c>
      <c r="S8" s="18" t="e">
        <f>(Table1567123[[#This Row],[Commercial Bid Price per case for NOI ($)]]+Table1567123[[#This Row],[Region 1: Fixed Fee Per Case ($)]])/Table1567123[[#This Row],['# of CN Servings per case]]</f>
        <v>#DIV/0!</v>
      </c>
      <c r="T8" s="118" t="e">
        <f>Table1567123[[#This Row],[Total Cost Per Serving (N+O)/I]]*Table1567123[[#This Row],[Estimated Servings Annual]]</f>
        <v>#DIV/0!</v>
      </c>
      <c r="U8" s="105">
        <f>(Table1567123[[#This Row],[Commercial Bid Price per case for NOI ($)]]-Table1567123[[#This Row],[Pass-Thru Value per case ($)]])+Table1567123[[#This Row],[Region 2: Fixed Fee Per Case ($)]]</f>
        <v>0</v>
      </c>
      <c r="V8" s="19" t="e">
        <f>(Table1567123[[#This Row],[Commercial Bid Price per case for NOI ($)]]+Table1567123[[#This Row],[Region 2: Fixed Fee Per Case ($)]])/Table1567123[[#This Row],['# of CN Servings per case]]</f>
        <v>#DIV/0!</v>
      </c>
      <c r="W8" s="20" t="e">
        <f>Table1567123[[#This Row],[Total Cost Per Serving (N+P)/I]]*Table1567123[[#This Row],[Estimated Servings Annual]]</f>
        <v>#DIV/0!</v>
      </c>
    </row>
    <row r="9" spans="1:23" x14ac:dyDescent="0.25">
      <c r="A9" s="45" t="s">
        <v>131</v>
      </c>
      <c r="B9" s="43" t="s">
        <v>132</v>
      </c>
      <c r="C9" s="7" t="s">
        <v>13</v>
      </c>
      <c r="D9" s="7"/>
      <c r="E9" s="7"/>
      <c r="F9" s="7"/>
      <c r="G9" s="7"/>
      <c r="H9" s="7"/>
      <c r="I9" s="7"/>
      <c r="J9" s="93">
        <v>2200000</v>
      </c>
      <c r="K9" s="7"/>
      <c r="L9" s="7"/>
      <c r="M9" s="7"/>
      <c r="N9" s="7"/>
      <c r="O9" s="7"/>
      <c r="P9" s="7"/>
      <c r="Q9" s="110"/>
      <c r="R9" s="105">
        <f>(Table1567123[[#This Row],[Commercial Bid Price per case for NOI ($)]]-Table1567123[[#This Row],[Pass-Thru Value per case ($)]])+Table1567123[[#This Row],[Region 1: Fixed Fee Per Case ($)]]</f>
        <v>0</v>
      </c>
      <c r="S9" s="18" t="e">
        <f>(Table1567123[[#This Row],[Commercial Bid Price per case for NOI ($)]]+Table1567123[[#This Row],[Region 1: Fixed Fee Per Case ($)]])/Table1567123[[#This Row],['# of CN Servings per case]]</f>
        <v>#DIV/0!</v>
      </c>
      <c r="T9" s="118" t="e">
        <f>Table1567123[[#This Row],[Total Cost Per Serving (N+O)/I]]*Table1567123[[#This Row],[Estimated Servings Annual]]</f>
        <v>#DIV/0!</v>
      </c>
      <c r="U9" s="105">
        <f>(Table1567123[[#This Row],[Commercial Bid Price per case for NOI ($)]]-Table1567123[[#This Row],[Pass-Thru Value per case ($)]])+Table1567123[[#This Row],[Region 2: Fixed Fee Per Case ($)]]</f>
        <v>0</v>
      </c>
      <c r="V9" s="19" t="e">
        <f>(Table1567123[[#This Row],[Commercial Bid Price per case for NOI ($)]]+Table1567123[[#This Row],[Region 2: Fixed Fee Per Case ($)]])/Table1567123[[#This Row],['# of CN Servings per case]]</f>
        <v>#DIV/0!</v>
      </c>
      <c r="W9" s="20" t="e">
        <f>Table1567123[[#This Row],[Total Cost Per Serving (N+P)/I]]*Table1567123[[#This Row],[Estimated Servings Annual]]</f>
        <v>#DIV/0!</v>
      </c>
    </row>
    <row r="10" spans="1:23" ht="15.75" thickBot="1" x14ac:dyDescent="0.3">
      <c r="A10" s="45" t="s">
        <v>131</v>
      </c>
      <c r="B10" s="44" t="s">
        <v>132</v>
      </c>
      <c r="C10" s="9" t="s">
        <v>13</v>
      </c>
      <c r="D10" s="9"/>
      <c r="E10" s="9"/>
      <c r="F10" s="9"/>
      <c r="G10" s="9"/>
      <c r="H10" s="9"/>
      <c r="I10" s="9"/>
      <c r="J10" s="94">
        <v>2200000</v>
      </c>
      <c r="K10" s="9"/>
      <c r="L10" s="9"/>
      <c r="M10" s="9"/>
      <c r="N10" s="9"/>
      <c r="O10" s="9"/>
      <c r="P10" s="9"/>
      <c r="Q10" s="111"/>
      <c r="R10" s="106">
        <f>(Table1567123[[#This Row],[Commercial Bid Price per case for NOI ($)]]-Table1567123[[#This Row],[Pass-Thru Value per case ($)]])+Table1567123[[#This Row],[Region 1: Fixed Fee Per Case ($)]]</f>
        <v>0</v>
      </c>
      <c r="S10" s="21" t="e">
        <f>(Table1567123[[#This Row],[Commercial Bid Price per case for NOI ($)]]+Table1567123[[#This Row],[Region 1: Fixed Fee Per Case ($)]])/Table1567123[[#This Row],['# of CN Servings per case]]</f>
        <v>#DIV/0!</v>
      </c>
      <c r="T10" s="120" t="e">
        <f>Table1567123[[#This Row],[Total Cost Per Serving (N+O)/I]]*Table1567123[[#This Row],[Estimated Servings Annual]]</f>
        <v>#DIV/0!</v>
      </c>
      <c r="U10" s="106">
        <f>(Table1567123[[#This Row],[Commercial Bid Price per case for NOI ($)]]-Table1567123[[#This Row],[Pass-Thru Value per case ($)]])+Table1567123[[#This Row],[Region 2: Fixed Fee Per Case ($)]]</f>
        <v>0</v>
      </c>
      <c r="V10" s="22" t="e">
        <f>(Table1567123[[#This Row],[Commercial Bid Price per case for NOI ($)]]+Table1567123[[#This Row],[Region 2: Fixed Fee Per Case ($)]])/Table1567123[[#This Row],['# of CN Servings per case]]</f>
        <v>#DIV/0!</v>
      </c>
      <c r="W10" s="23" t="e">
        <f>Table1567123[[#This Row],[Total Cost Per Serving (N+P)/I]]*Table1567123[[#This Row],[Estimated Servings Annual]]</f>
        <v>#DIV/0!</v>
      </c>
    </row>
    <row r="11" spans="1:23" ht="30" x14ac:dyDescent="0.25">
      <c r="A11" s="45" t="s">
        <v>131</v>
      </c>
      <c r="B11" s="64" t="s">
        <v>133</v>
      </c>
      <c r="C11" s="60" t="s">
        <v>136</v>
      </c>
      <c r="D11" s="4"/>
      <c r="E11" s="4"/>
      <c r="F11" s="4"/>
      <c r="G11" s="4"/>
      <c r="H11" s="4"/>
      <c r="I11" s="4"/>
      <c r="J11" s="92">
        <v>190000</v>
      </c>
      <c r="K11" s="4"/>
      <c r="L11" s="4"/>
      <c r="M11" s="4"/>
      <c r="N11" s="4"/>
      <c r="O11" s="4"/>
      <c r="P11" s="4"/>
      <c r="Q11" s="109"/>
      <c r="R11" s="104">
        <f>(Table1567123[[#This Row],[Commercial Bid Price per case for NOI ($)]]-Table1567123[[#This Row],[Pass-Thru Value per case ($)]])+Table1567123[[#This Row],[Region 1: Fixed Fee Per Case ($)]]</f>
        <v>0</v>
      </c>
      <c r="S11" s="15" t="e">
        <f>(Table1567123[[#This Row],[Commercial Bid Price per case for NOI ($)]]+Table1567123[[#This Row],[Region 1: Fixed Fee Per Case ($)]])/Table1567123[[#This Row],['# of CN Servings per case]]</f>
        <v>#DIV/0!</v>
      </c>
      <c r="T11" s="115" t="e">
        <f>Table1567123[[#This Row],[Total Cost Per Serving (N+O)/I]]*Table1567123[[#This Row],[Estimated Servings Annual]]</f>
        <v>#DIV/0!</v>
      </c>
      <c r="U11" s="104">
        <f>(Table1567123[[#This Row],[Commercial Bid Price per case for NOI ($)]]-Table1567123[[#This Row],[Pass-Thru Value per case ($)]])+Table1567123[[#This Row],[Region 2: Fixed Fee Per Case ($)]]</f>
        <v>0</v>
      </c>
      <c r="V11" s="16" t="e">
        <f>(Table1567123[[#This Row],[Commercial Bid Price per case for NOI ($)]]+Table1567123[[#This Row],[Region 2: Fixed Fee Per Case ($)]])/Table1567123[[#This Row],['# of CN Servings per case]]</f>
        <v>#DIV/0!</v>
      </c>
      <c r="W11" s="17" t="e">
        <f>Table1567123[[#This Row],[Total Cost Per Serving (N+P)/I]]*Table1567123[[#This Row],[Estimated Servings Annual]]</f>
        <v>#DIV/0!</v>
      </c>
    </row>
    <row r="12" spans="1:23" ht="30" x14ac:dyDescent="0.25">
      <c r="A12" s="45" t="s">
        <v>131</v>
      </c>
      <c r="B12" s="65" t="s">
        <v>133</v>
      </c>
      <c r="C12" s="59" t="s">
        <v>136</v>
      </c>
      <c r="D12" s="7"/>
      <c r="E12" s="7"/>
      <c r="F12" s="7"/>
      <c r="G12" s="7"/>
      <c r="H12" s="7"/>
      <c r="I12" s="7"/>
      <c r="J12" s="93">
        <v>190000</v>
      </c>
      <c r="K12" s="7"/>
      <c r="L12" s="7"/>
      <c r="M12" s="7"/>
      <c r="N12" s="7"/>
      <c r="O12" s="7"/>
      <c r="P12" s="7"/>
      <c r="Q12" s="110"/>
      <c r="R12" s="105">
        <f>(Table1567123[[#This Row],[Commercial Bid Price per case for NOI ($)]]-Table1567123[[#This Row],[Pass-Thru Value per case ($)]])+Table1567123[[#This Row],[Region 1: Fixed Fee Per Case ($)]]</f>
        <v>0</v>
      </c>
      <c r="S12" s="18" t="e">
        <f>(Table1567123[[#This Row],[Commercial Bid Price per case for NOI ($)]]+Table1567123[[#This Row],[Region 1: Fixed Fee Per Case ($)]])/Table1567123[[#This Row],['# of CN Servings per case]]</f>
        <v>#DIV/0!</v>
      </c>
      <c r="T12" s="118" t="e">
        <f>Table1567123[[#This Row],[Total Cost Per Serving (N+O)/I]]*Table1567123[[#This Row],[Estimated Servings Annual]]</f>
        <v>#DIV/0!</v>
      </c>
      <c r="U12" s="105">
        <f>(Table1567123[[#This Row],[Commercial Bid Price per case for NOI ($)]]-Table1567123[[#This Row],[Pass-Thru Value per case ($)]])+Table1567123[[#This Row],[Region 2: Fixed Fee Per Case ($)]]</f>
        <v>0</v>
      </c>
      <c r="V12" s="19" t="e">
        <f>(Table1567123[[#This Row],[Commercial Bid Price per case for NOI ($)]]+Table1567123[[#This Row],[Region 2: Fixed Fee Per Case ($)]])/Table1567123[[#This Row],['# of CN Servings per case]]</f>
        <v>#DIV/0!</v>
      </c>
      <c r="W12" s="20" t="e">
        <f>Table1567123[[#This Row],[Total Cost Per Serving (N+P)/I]]*Table1567123[[#This Row],[Estimated Servings Annual]]</f>
        <v>#DIV/0!</v>
      </c>
    </row>
    <row r="13" spans="1:23" ht="30" x14ac:dyDescent="0.25">
      <c r="A13" s="45" t="s">
        <v>131</v>
      </c>
      <c r="B13" s="65" t="s">
        <v>133</v>
      </c>
      <c r="C13" s="59" t="s">
        <v>135</v>
      </c>
      <c r="D13" s="7"/>
      <c r="E13" s="7"/>
      <c r="F13" s="7"/>
      <c r="G13" s="7"/>
      <c r="H13" s="7"/>
      <c r="I13" s="7"/>
      <c r="J13" s="93">
        <v>190000</v>
      </c>
      <c r="K13" s="7"/>
      <c r="L13" s="7"/>
      <c r="M13" s="7"/>
      <c r="N13" s="7"/>
      <c r="O13" s="7"/>
      <c r="P13" s="7"/>
      <c r="Q13" s="110"/>
      <c r="R13" s="105">
        <f>(Table1567123[[#This Row],[Commercial Bid Price per case for NOI ($)]]-Table1567123[[#This Row],[Pass-Thru Value per case ($)]])+Table1567123[[#This Row],[Region 1: Fixed Fee Per Case ($)]]</f>
        <v>0</v>
      </c>
      <c r="S13" s="18" t="e">
        <f>(Table1567123[[#This Row],[Commercial Bid Price per case for NOI ($)]]+Table1567123[[#This Row],[Region 1: Fixed Fee Per Case ($)]])/Table1567123[[#This Row],['# of CN Servings per case]]</f>
        <v>#DIV/0!</v>
      </c>
      <c r="T13" s="118" t="e">
        <f>Table1567123[[#This Row],[Total Cost Per Serving (N+O)/I]]*Table1567123[[#This Row],[Estimated Servings Annual]]</f>
        <v>#DIV/0!</v>
      </c>
      <c r="U13" s="105">
        <f>(Table1567123[[#This Row],[Commercial Bid Price per case for NOI ($)]]-Table1567123[[#This Row],[Pass-Thru Value per case ($)]])+Table1567123[[#This Row],[Region 2: Fixed Fee Per Case ($)]]</f>
        <v>0</v>
      </c>
      <c r="V13" s="19" t="e">
        <f>(Table1567123[[#This Row],[Commercial Bid Price per case for NOI ($)]]+Table1567123[[#This Row],[Region 2: Fixed Fee Per Case ($)]])/Table1567123[[#This Row],['# of CN Servings per case]]</f>
        <v>#DIV/0!</v>
      </c>
      <c r="W13" s="20" t="e">
        <f>Table1567123[[#This Row],[Total Cost Per Serving (N+P)/I]]*Table1567123[[#This Row],[Estimated Servings Annual]]</f>
        <v>#DIV/0!</v>
      </c>
    </row>
    <row r="14" spans="1:23" ht="30" x14ac:dyDescent="0.25">
      <c r="A14" s="45" t="s">
        <v>131</v>
      </c>
      <c r="B14" s="65" t="s">
        <v>133</v>
      </c>
      <c r="C14" s="59" t="s">
        <v>135</v>
      </c>
      <c r="D14" s="7"/>
      <c r="E14" s="7"/>
      <c r="F14" s="7"/>
      <c r="G14" s="7"/>
      <c r="H14" s="7"/>
      <c r="I14" s="7"/>
      <c r="J14" s="93">
        <v>190000</v>
      </c>
      <c r="K14" s="7"/>
      <c r="L14" s="7"/>
      <c r="M14" s="7"/>
      <c r="N14" s="7"/>
      <c r="O14" s="7"/>
      <c r="P14" s="7"/>
      <c r="Q14" s="110"/>
      <c r="R14" s="105">
        <f>(Table1567123[[#This Row],[Commercial Bid Price per case for NOI ($)]]-Table1567123[[#This Row],[Pass-Thru Value per case ($)]])+Table1567123[[#This Row],[Region 1: Fixed Fee Per Case ($)]]</f>
        <v>0</v>
      </c>
      <c r="S14" s="18" t="e">
        <f>(Table1567123[[#This Row],[Commercial Bid Price per case for NOI ($)]]+Table1567123[[#This Row],[Region 1: Fixed Fee Per Case ($)]])/Table1567123[[#This Row],['# of CN Servings per case]]</f>
        <v>#DIV/0!</v>
      </c>
      <c r="T14" s="118" t="e">
        <f>Table1567123[[#This Row],[Total Cost Per Serving (N+O)/I]]*Table1567123[[#This Row],[Estimated Servings Annual]]</f>
        <v>#DIV/0!</v>
      </c>
      <c r="U14" s="105">
        <f>(Table1567123[[#This Row],[Commercial Bid Price per case for NOI ($)]]-Table1567123[[#This Row],[Pass-Thru Value per case ($)]])+Table1567123[[#This Row],[Region 2: Fixed Fee Per Case ($)]]</f>
        <v>0</v>
      </c>
      <c r="V14" s="19" t="e">
        <f>(Table1567123[[#This Row],[Commercial Bid Price per case for NOI ($)]]+Table1567123[[#This Row],[Region 2: Fixed Fee Per Case ($)]])/Table1567123[[#This Row],['# of CN Servings per case]]</f>
        <v>#DIV/0!</v>
      </c>
      <c r="W14" s="20" t="e">
        <f>Table1567123[[#This Row],[Total Cost Per Serving (N+P)/I]]*Table1567123[[#This Row],[Estimated Servings Annual]]</f>
        <v>#DIV/0!</v>
      </c>
    </row>
    <row r="15" spans="1:23" ht="30" x14ac:dyDescent="0.25">
      <c r="A15" s="45" t="s">
        <v>131</v>
      </c>
      <c r="B15" s="65" t="s">
        <v>133</v>
      </c>
      <c r="C15" s="59" t="s">
        <v>134</v>
      </c>
      <c r="D15" s="7"/>
      <c r="E15" s="7"/>
      <c r="F15" s="7"/>
      <c r="G15" s="7"/>
      <c r="H15" s="7"/>
      <c r="I15" s="7"/>
      <c r="J15" s="93">
        <v>190000</v>
      </c>
      <c r="K15" s="7"/>
      <c r="L15" s="7"/>
      <c r="M15" s="7"/>
      <c r="N15" s="7"/>
      <c r="O15" s="7"/>
      <c r="P15" s="7"/>
      <c r="Q15" s="110"/>
      <c r="R15" s="105">
        <f>(Table1567123[[#This Row],[Commercial Bid Price per case for NOI ($)]]-Table1567123[[#This Row],[Pass-Thru Value per case ($)]])+Table1567123[[#This Row],[Region 1: Fixed Fee Per Case ($)]]</f>
        <v>0</v>
      </c>
      <c r="S15" s="18" t="e">
        <f>(Table1567123[[#This Row],[Commercial Bid Price per case for NOI ($)]]+Table1567123[[#This Row],[Region 1: Fixed Fee Per Case ($)]])/Table1567123[[#This Row],['# of CN Servings per case]]</f>
        <v>#DIV/0!</v>
      </c>
      <c r="T15" s="118" t="e">
        <f>Table1567123[[#This Row],[Total Cost Per Serving (N+O)/I]]*Table1567123[[#This Row],[Estimated Servings Annual]]</f>
        <v>#DIV/0!</v>
      </c>
      <c r="U15" s="105">
        <f>(Table1567123[[#This Row],[Commercial Bid Price per case for NOI ($)]]-Table1567123[[#This Row],[Pass-Thru Value per case ($)]])+Table1567123[[#This Row],[Region 2: Fixed Fee Per Case ($)]]</f>
        <v>0</v>
      </c>
      <c r="V15" s="19" t="e">
        <f>(Table1567123[[#This Row],[Commercial Bid Price per case for NOI ($)]]+Table1567123[[#This Row],[Region 2: Fixed Fee Per Case ($)]])/Table1567123[[#This Row],['# of CN Servings per case]]</f>
        <v>#DIV/0!</v>
      </c>
      <c r="W15" s="20" t="e">
        <f>Table1567123[[#This Row],[Total Cost Per Serving (N+P)/I]]*Table1567123[[#This Row],[Estimated Servings Annual]]</f>
        <v>#DIV/0!</v>
      </c>
    </row>
    <row r="16" spans="1:23" ht="30" x14ac:dyDescent="0.25">
      <c r="A16" s="45" t="s">
        <v>131</v>
      </c>
      <c r="B16" s="65" t="s">
        <v>133</v>
      </c>
      <c r="C16" s="59" t="s">
        <v>134</v>
      </c>
      <c r="D16" s="7"/>
      <c r="E16" s="7"/>
      <c r="F16" s="7"/>
      <c r="G16" s="7"/>
      <c r="H16" s="7"/>
      <c r="I16" s="7"/>
      <c r="J16" s="93">
        <v>190000</v>
      </c>
      <c r="K16" s="7"/>
      <c r="L16" s="7"/>
      <c r="M16" s="7"/>
      <c r="N16" s="7"/>
      <c r="O16" s="7"/>
      <c r="P16" s="7"/>
      <c r="Q16" s="110"/>
      <c r="R16" s="105">
        <f>(Table1567123[[#This Row],[Commercial Bid Price per case for NOI ($)]]-Table1567123[[#This Row],[Pass-Thru Value per case ($)]])+Table1567123[[#This Row],[Region 1: Fixed Fee Per Case ($)]]</f>
        <v>0</v>
      </c>
      <c r="S16" s="18" t="e">
        <f>(Table1567123[[#This Row],[Commercial Bid Price per case for NOI ($)]]+Table1567123[[#This Row],[Region 1: Fixed Fee Per Case ($)]])/Table1567123[[#This Row],['# of CN Servings per case]]</f>
        <v>#DIV/0!</v>
      </c>
      <c r="T16" s="118" t="e">
        <f>Table1567123[[#This Row],[Total Cost Per Serving (N+O)/I]]*Table1567123[[#This Row],[Estimated Servings Annual]]</f>
        <v>#DIV/0!</v>
      </c>
      <c r="U16" s="105">
        <f>(Table1567123[[#This Row],[Commercial Bid Price per case for NOI ($)]]-Table1567123[[#This Row],[Pass-Thru Value per case ($)]])+Table1567123[[#This Row],[Region 2: Fixed Fee Per Case ($)]]</f>
        <v>0</v>
      </c>
      <c r="V16" s="19" t="e">
        <f>(Table1567123[[#This Row],[Commercial Bid Price per case for NOI ($)]]+Table1567123[[#This Row],[Region 2: Fixed Fee Per Case ($)]])/Table1567123[[#This Row],['# of CN Servings per case]]</f>
        <v>#DIV/0!</v>
      </c>
      <c r="W16" s="20" t="e">
        <f>Table1567123[[#This Row],[Total Cost Per Serving (N+P)/I]]*Table1567123[[#This Row],[Estimated Servings Annual]]</f>
        <v>#DIV/0!</v>
      </c>
    </row>
    <row r="17" spans="1:23" ht="30" x14ac:dyDescent="0.25">
      <c r="A17" s="45" t="s">
        <v>131</v>
      </c>
      <c r="B17" s="65" t="s">
        <v>133</v>
      </c>
      <c r="C17" s="7" t="s">
        <v>13</v>
      </c>
      <c r="D17" s="7"/>
      <c r="E17" s="7"/>
      <c r="F17" s="7"/>
      <c r="G17" s="7"/>
      <c r="H17" s="7"/>
      <c r="I17" s="7"/>
      <c r="J17" s="93">
        <v>190000</v>
      </c>
      <c r="K17" s="7"/>
      <c r="L17" s="7"/>
      <c r="M17" s="7"/>
      <c r="N17" s="7"/>
      <c r="O17" s="7"/>
      <c r="P17" s="7"/>
      <c r="Q17" s="110"/>
      <c r="R17" s="105">
        <f>(Table1567123[[#This Row],[Commercial Bid Price per case for NOI ($)]]-Table1567123[[#This Row],[Pass-Thru Value per case ($)]])+Table1567123[[#This Row],[Region 1: Fixed Fee Per Case ($)]]</f>
        <v>0</v>
      </c>
      <c r="S17" s="18" t="e">
        <f>(Table1567123[[#This Row],[Commercial Bid Price per case for NOI ($)]]+Table1567123[[#This Row],[Region 1: Fixed Fee Per Case ($)]])/Table1567123[[#This Row],['# of CN Servings per case]]</f>
        <v>#DIV/0!</v>
      </c>
      <c r="T17" s="118" t="e">
        <f>Table1567123[[#This Row],[Total Cost Per Serving (N+O)/I]]*Table1567123[[#This Row],[Estimated Servings Annual]]</f>
        <v>#DIV/0!</v>
      </c>
      <c r="U17" s="105">
        <f>(Table1567123[[#This Row],[Commercial Bid Price per case for NOI ($)]]-Table1567123[[#This Row],[Pass-Thru Value per case ($)]])+Table1567123[[#This Row],[Region 2: Fixed Fee Per Case ($)]]</f>
        <v>0</v>
      </c>
      <c r="V17" s="19" t="e">
        <f>(Table1567123[[#This Row],[Commercial Bid Price per case for NOI ($)]]+Table1567123[[#This Row],[Region 2: Fixed Fee Per Case ($)]])/Table1567123[[#This Row],['# of CN Servings per case]]</f>
        <v>#DIV/0!</v>
      </c>
      <c r="W17" s="20" t="e">
        <f>Table1567123[[#This Row],[Total Cost Per Serving (N+P)/I]]*Table1567123[[#This Row],[Estimated Servings Annual]]</f>
        <v>#DIV/0!</v>
      </c>
    </row>
    <row r="18" spans="1:23" ht="30" x14ac:dyDescent="0.25">
      <c r="A18" s="45" t="s">
        <v>131</v>
      </c>
      <c r="B18" s="65" t="s">
        <v>133</v>
      </c>
      <c r="C18" s="7" t="s">
        <v>13</v>
      </c>
      <c r="D18" s="7"/>
      <c r="E18" s="7"/>
      <c r="F18" s="7"/>
      <c r="G18" s="7"/>
      <c r="H18" s="7"/>
      <c r="I18" s="7"/>
      <c r="J18" s="93">
        <v>190000</v>
      </c>
      <c r="K18" s="7"/>
      <c r="L18" s="7"/>
      <c r="M18" s="7"/>
      <c r="N18" s="7"/>
      <c r="O18" s="7"/>
      <c r="P18" s="7"/>
      <c r="Q18" s="110"/>
      <c r="R18" s="105">
        <f>(Table1567123[[#This Row],[Commercial Bid Price per case for NOI ($)]]-Table1567123[[#This Row],[Pass-Thru Value per case ($)]])+Table1567123[[#This Row],[Region 1: Fixed Fee Per Case ($)]]</f>
        <v>0</v>
      </c>
      <c r="S18" s="18" t="e">
        <f>(Table1567123[[#This Row],[Commercial Bid Price per case for NOI ($)]]+Table1567123[[#This Row],[Region 1: Fixed Fee Per Case ($)]])/Table1567123[[#This Row],['# of CN Servings per case]]</f>
        <v>#DIV/0!</v>
      </c>
      <c r="T18" s="118" t="e">
        <f>Table1567123[[#This Row],[Total Cost Per Serving (N+O)/I]]*Table1567123[[#This Row],[Estimated Servings Annual]]</f>
        <v>#DIV/0!</v>
      </c>
      <c r="U18" s="105">
        <f>(Table1567123[[#This Row],[Commercial Bid Price per case for NOI ($)]]-Table1567123[[#This Row],[Pass-Thru Value per case ($)]])+Table1567123[[#This Row],[Region 2: Fixed Fee Per Case ($)]]</f>
        <v>0</v>
      </c>
      <c r="V18" s="19" t="e">
        <f>(Table1567123[[#This Row],[Commercial Bid Price per case for NOI ($)]]+Table1567123[[#This Row],[Region 2: Fixed Fee Per Case ($)]])/Table1567123[[#This Row],['# of CN Servings per case]]</f>
        <v>#DIV/0!</v>
      </c>
      <c r="W18" s="20" t="e">
        <f>Table1567123[[#This Row],[Total Cost Per Serving (N+P)/I]]*Table1567123[[#This Row],[Estimated Servings Annual]]</f>
        <v>#DIV/0!</v>
      </c>
    </row>
    <row r="19" spans="1:23" ht="30" x14ac:dyDescent="0.25">
      <c r="A19" s="45" t="s">
        <v>131</v>
      </c>
      <c r="B19" s="65" t="s">
        <v>133</v>
      </c>
      <c r="C19" s="7" t="s">
        <v>13</v>
      </c>
      <c r="D19" s="7"/>
      <c r="E19" s="7"/>
      <c r="F19" s="7"/>
      <c r="G19" s="7"/>
      <c r="H19" s="7"/>
      <c r="I19" s="7"/>
      <c r="J19" s="93">
        <v>190000</v>
      </c>
      <c r="K19" s="7"/>
      <c r="L19" s="7"/>
      <c r="M19" s="7"/>
      <c r="N19" s="7"/>
      <c r="O19" s="7"/>
      <c r="P19" s="7"/>
      <c r="Q19" s="110"/>
      <c r="R19" s="105">
        <f>(Table1567123[[#This Row],[Commercial Bid Price per case for NOI ($)]]-Table1567123[[#This Row],[Pass-Thru Value per case ($)]])+Table1567123[[#This Row],[Region 1: Fixed Fee Per Case ($)]]</f>
        <v>0</v>
      </c>
      <c r="S19" s="18" t="e">
        <f>(Table1567123[[#This Row],[Commercial Bid Price per case for NOI ($)]]+Table1567123[[#This Row],[Region 1: Fixed Fee Per Case ($)]])/Table1567123[[#This Row],['# of CN Servings per case]]</f>
        <v>#DIV/0!</v>
      </c>
      <c r="T19" s="118" t="e">
        <f>Table1567123[[#This Row],[Total Cost Per Serving (N+O)/I]]*Table1567123[[#This Row],[Estimated Servings Annual]]</f>
        <v>#DIV/0!</v>
      </c>
      <c r="U19" s="105">
        <f>(Table1567123[[#This Row],[Commercial Bid Price per case for NOI ($)]]-Table1567123[[#This Row],[Pass-Thru Value per case ($)]])+Table1567123[[#This Row],[Region 2: Fixed Fee Per Case ($)]]</f>
        <v>0</v>
      </c>
      <c r="V19" s="19" t="e">
        <f>(Table1567123[[#This Row],[Commercial Bid Price per case for NOI ($)]]+Table1567123[[#This Row],[Region 2: Fixed Fee Per Case ($)]])/Table1567123[[#This Row],['# of CN Servings per case]]</f>
        <v>#DIV/0!</v>
      </c>
      <c r="W19" s="20" t="e">
        <f>Table1567123[[#This Row],[Total Cost Per Serving (N+P)/I]]*Table1567123[[#This Row],[Estimated Servings Annual]]</f>
        <v>#DIV/0!</v>
      </c>
    </row>
    <row r="20" spans="1:23" ht="30.75" thickBot="1" x14ac:dyDescent="0.3">
      <c r="A20" s="45" t="s">
        <v>131</v>
      </c>
      <c r="B20" s="66" t="s">
        <v>133</v>
      </c>
      <c r="C20" s="9" t="s">
        <v>13</v>
      </c>
      <c r="D20" s="9"/>
      <c r="E20" s="9"/>
      <c r="F20" s="9"/>
      <c r="G20" s="9"/>
      <c r="H20" s="9"/>
      <c r="I20" s="9"/>
      <c r="J20" s="94">
        <v>190000</v>
      </c>
      <c r="K20" s="9"/>
      <c r="L20" s="9"/>
      <c r="M20" s="9"/>
      <c r="N20" s="9"/>
      <c r="O20" s="9"/>
      <c r="P20" s="9"/>
      <c r="Q20" s="111"/>
      <c r="R20" s="106">
        <f>(Table1567123[[#This Row],[Commercial Bid Price per case for NOI ($)]]-Table1567123[[#This Row],[Pass-Thru Value per case ($)]])+Table1567123[[#This Row],[Region 1: Fixed Fee Per Case ($)]]</f>
        <v>0</v>
      </c>
      <c r="S20" s="21" t="e">
        <f>(Table1567123[[#This Row],[Commercial Bid Price per case for NOI ($)]]+Table1567123[[#This Row],[Region 1: Fixed Fee Per Case ($)]])/Table1567123[[#This Row],['# of CN Servings per case]]</f>
        <v>#DIV/0!</v>
      </c>
      <c r="T20" s="120" t="e">
        <f>Table1567123[[#This Row],[Total Cost Per Serving (N+O)/I]]*Table1567123[[#This Row],[Estimated Servings Annual]]</f>
        <v>#DIV/0!</v>
      </c>
      <c r="U20" s="106">
        <f>(Table1567123[[#This Row],[Commercial Bid Price per case for NOI ($)]]-Table1567123[[#This Row],[Pass-Thru Value per case ($)]])+Table1567123[[#This Row],[Region 2: Fixed Fee Per Case ($)]]</f>
        <v>0</v>
      </c>
      <c r="V20" s="22" t="e">
        <f>(Table1567123[[#This Row],[Commercial Bid Price per case for NOI ($)]]+Table1567123[[#This Row],[Region 2: Fixed Fee Per Case ($)]])/Table1567123[[#This Row],['# of CN Servings per case]]</f>
        <v>#DIV/0!</v>
      </c>
      <c r="W20" s="23" t="e">
        <f>Table1567123[[#This Row],[Total Cost Per Serving (N+P)/I]]*Table1567123[[#This Row],[Estimated Servings Annual]]</f>
        <v>#DIV/0!</v>
      </c>
    </row>
    <row r="21" spans="1:23" ht="30" x14ac:dyDescent="0.25">
      <c r="A21" s="45" t="s">
        <v>131</v>
      </c>
      <c r="B21" s="64" t="s">
        <v>137</v>
      </c>
      <c r="C21" s="60" t="s">
        <v>136</v>
      </c>
      <c r="D21" s="4"/>
      <c r="E21" s="4"/>
      <c r="F21" s="4"/>
      <c r="G21" s="4"/>
      <c r="H21" s="4"/>
      <c r="I21" s="4"/>
      <c r="J21" s="92">
        <v>220000</v>
      </c>
      <c r="K21" s="4"/>
      <c r="L21" s="4"/>
      <c r="M21" s="4"/>
      <c r="N21" s="4"/>
      <c r="O21" s="4"/>
      <c r="P21" s="4"/>
      <c r="Q21" s="109"/>
      <c r="R21" s="104">
        <f>(Table1567123[[#This Row],[Commercial Bid Price per case for NOI ($)]]-Table1567123[[#This Row],[Pass-Thru Value per case ($)]])+Table1567123[[#This Row],[Region 1: Fixed Fee Per Case ($)]]</f>
        <v>0</v>
      </c>
      <c r="S21" s="15" t="e">
        <f>(Table1567123[[#This Row],[Commercial Bid Price per case for NOI ($)]]+Table1567123[[#This Row],[Region 1: Fixed Fee Per Case ($)]])/Table1567123[[#This Row],['# of CN Servings per case]]</f>
        <v>#DIV/0!</v>
      </c>
      <c r="T21" s="115" t="e">
        <f>Table1567123[[#This Row],[Total Cost Per Serving (N+O)/I]]*Table1567123[[#This Row],[Estimated Servings Annual]]</f>
        <v>#DIV/0!</v>
      </c>
      <c r="U21" s="104">
        <f>(Table1567123[[#This Row],[Commercial Bid Price per case for NOI ($)]]-Table1567123[[#This Row],[Pass-Thru Value per case ($)]])+Table1567123[[#This Row],[Region 2: Fixed Fee Per Case ($)]]</f>
        <v>0</v>
      </c>
      <c r="V21" s="16" t="e">
        <f>(Table1567123[[#This Row],[Commercial Bid Price per case for NOI ($)]]+Table1567123[[#This Row],[Region 2: Fixed Fee Per Case ($)]])/Table1567123[[#This Row],['# of CN Servings per case]]</f>
        <v>#DIV/0!</v>
      </c>
      <c r="W21" s="17" t="e">
        <f>Table1567123[[#This Row],[Total Cost Per Serving (N+P)/I]]*Table1567123[[#This Row],[Estimated Servings Annual]]</f>
        <v>#DIV/0!</v>
      </c>
    </row>
    <row r="22" spans="1:23" ht="30" x14ac:dyDescent="0.25">
      <c r="A22" s="45" t="s">
        <v>131</v>
      </c>
      <c r="B22" s="65" t="s">
        <v>137</v>
      </c>
      <c r="C22" s="59" t="s">
        <v>136</v>
      </c>
      <c r="D22" s="7"/>
      <c r="E22" s="7"/>
      <c r="F22" s="7"/>
      <c r="G22" s="7"/>
      <c r="H22" s="7"/>
      <c r="I22" s="7"/>
      <c r="J22" s="93">
        <v>220000</v>
      </c>
      <c r="K22" s="7"/>
      <c r="L22" s="7"/>
      <c r="M22" s="7"/>
      <c r="N22" s="7"/>
      <c r="O22" s="7"/>
      <c r="P22" s="7"/>
      <c r="Q22" s="110"/>
      <c r="R22" s="105">
        <f>(Table1567123[[#This Row],[Commercial Bid Price per case for NOI ($)]]-Table1567123[[#This Row],[Pass-Thru Value per case ($)]])+Table1567123[[#This Row],[Region 1: Fixed Fee Per Case ($)]]</f>
        <v>0</v>
      </c>
      <c r="S22" s="18" t="e">
        <f>(Table1567123[[#This Row],[Commercial Bid Price per case for NOI ($)]]+Table1567123[[#This Row],[Region 1: Fixed Fee Per Case ($)]])/Table1567123[[#This Row],['# of CN Servings per case]]</f>
        <v>#DIV/0!</v>
      </c>
      <c r="T22" s="118" t="e">
        <f>Table1567123[[#This Row],[Total Cost Per Serving (N+O)/I]]*Table1567123[[#This Row],[Estimated Servings Annual]]</f>
        <v>#DIV/0!</v>
      </c>
      <c r="U22" s="105">
        <f>(Table1567123[[#This Row],[Commercial Bid Price per case for NOI ($)]]-Table1567123[[#This Row],[Pass-Thru Value per case ($)]])+Table1567123[[#This Row],[Region 2: Fixed Fee Per Case ($)]]</f>
        <v>0</v>
      </c>
      <c r="V22" s="19" t="e">
        <f>(Table1567123[[#This Row],[Commercial Bid Price per case for NOI ($)]]+Table1567123[[#This Row],[Region 2: Fixed Fee Per Case ($)]])/Table1567123[[#This Row],['# of CN Servings per case]]</f>
        <v>#DIV/0!</v>
      </c>
      <c r="W22" s="20" t="e">
        <f>Table1567123[[#This Row],[Total Cost Per Serving (N+P)/I]]*Table1567123[[#This Row],[Estimated Servings Annual]]</f>
        <v>#DIV/0!</v>
      </c>
    </row>
    <row r="23" spans="1:23" ht="30" x14ac:dyDescent="0.25">
      <c r="A23" s="45" t="s">
        <v>131</v>
      </c>
      <c r="B23" s="65" t="s">
        <v>137</v>
      </c>
      <c r="C23" s="59" t="s">
        <v>135</v>
      </c>
      <c r="D23" s="7"/>
      <c r="E23" s="7"/>
      <c r="F23" s="7"/>
      <c r="G23" s="7"/>
      <c r="H23" s="7"/>
      <c r="I23" s="7"/>
      <c r="J23" s="93">
        <v>220000</v>
      </c>
      <c r="K23" s="7"/>
      <c r="L23" s="7"/>
      <c r="M23" s="7"/>
      <c r="N23" s="7"/>
      <c r="O23" s="7"/>
      <c r="P23" s="7"/>
      <c r="Q23" s="110"/>
      <c r="R23" s="105">
        <f>(Table1567123[[#This Row],[Commercial Bid Price per case for NOI ($)]]-Table1567123[[#This Row],[Pass-Thru Value per case ($)]])+Table1567123[[#This Row],[Region 1: Fixed Fee Per Case ($)]]</f>
        <v>0</v>
      </c>
      <c r="S23" s="18" t="e">
        <f>(Table1567123[[#This Row],[Commercial Bid Price per case for NOI ($)]]+Table1567123[[#This Row],[Region 1: Fixed Fee Per Case ($)]])/Table1567123[[#This Row],['# of CN Servings per case]]</f>
        <v>#DIV/0!</v>
      </c>
      <c r="T23" s="118" t="e">
        <f>Table1567123[[#This Row],[Total Cost Per Serving (N+O)/I]]*Table1567123[[#This Row],[Estimated Servings Annual]]</f>
        <v>#DIV/0!</v>
      </c>
      <c r="U23" s="105">
        <f>(Table1567123[[#This Row],[Commercial Bid Price per case for NOI ($)]]-Table1567123[[#This Row],[Pass-Thru Value per case ($)]])+Table1567123[[#This Row],[Region 2: Fixed Fee Per Case ($)]]</f>
        <v>0</v>
      </c>
      <c r="V23" s="19" t="e">
        <f>(Table1567123[[#This Row],[Commercial Bid Price per case for NOI ($)]]+Table1567123[[#This Row],[Region 2: Fixed Fee Per Case ($)]])/Table1567123[[#This Row],['# of CN Servings per case]]</f>
        <v>#DIV/0!</v>
      </c>
      <c r="W23" s="20" t="e">
        <f>Table1567123[[#This Row],[Total Cost Per Serving (N+P)/I]]*Table1567123[[#This Row],[Estimated Servings Annual]]</f>
        <v>#DIV/0!</v>
      </c>
    </row>
    <row r="24" spans="1:23" ht="30" x14ac:dyDescent="0.25">
      <c r="A24" s="45" t="s">
        <v>131</v>
      </c>
      <c r="B24" s="65" t="s">
        <v>137</v>
      </c>
      <c r="C24" s="59" t="s">
        <v>135</v>
      </c>
      <c r="D24" s="7"/>
      <c r="E24" s="7"/>
      <c r="F24" s="7"/>
      <c r="G24" s="7"/>
      <c r="H24" s="7"/>
      <c r="I24" s="7"/>
      <c r="J24" s="93">
        <v>220000</v>
      </c>
      <c r="K24" s="7"/>
      <c r="L24" s="7"/>
      <c r="M24" s="7"/>
      <c r="N24" s="7"/>
      <c r="O24" s="7"/>
      <c r="P24" s="7"/>
      <c r="Q24" s="110"/>
      <c r="R24" s="105">
        <f>(Table1567123[[#This Row],[Commercial Bid Price per case for NOI ($)]]-Table1567123[[#This Row],[Pass-Thru Value per case ($)]])+Table1567123[[#This Row],[Region 1: Fixed Fee Per Case ($)]]</f>
        <v>0</v>
      </c>
      <c r="S24" s="18" t="e">
        <f>(Table1567123[[#This Row],[Commercial Bid Price per case for NOI ($)]]+Table1567123[[#This Row],[Region 1: Fixed Fee Per Case ($)]])/Table1567123[[#This Row],['# of CN Servings per case]]</f>
        <v>#DIV/0!</v>
      </c>
      <c r="T24" s="118" t="e">
        <f>Table1567123[[#This Row],[Total Cost Per Serving (N+O)/I]]*Table1567123[[#This Row],[Estimated Servings Annual]]</f>
        <v>#DIV/0!</v>
      </c>
      <c r="U24" s="105">
        <f>(Table1567123[[#This Row],[Commercial Bid Price per case for NOI ($)]]-Table1567123[[#This Row],[Pass-Thru Value per case ($)]])+Table1567123[[#This Row],[Region 2: Fixed Fee Per Case ($)]]</f>
        <v>0</v>
      </c>
      <c r="V24" s="19" t="e">
        <f>(Table1567123[[#This Row],[Commercial Bid Price per case for NOI ($)]]+Table1567123[[#This Row],[Region 2: Fixed Fee Per Case ($)]])/Table1567123[[#This Row],['# of CN Servings per case]]</f>
        <v>#DIV/0!</v>
      </c>
      <c r="W24" s="20" t="e">
        <f>Table1567123[[#This Row],[Total Cost Per Serving (N+P)/I]]*Table1567123[[#This Row],[Estimated Servings Annual]]</f>
        <v>#DIV/0!</v>
      </c>
    </row>
    <row r="25" spans="1:23" ht="30" x14ac:dyDescent="0.25">
      <c r="A25" s="45" t="s">
        <v>131</v>
      </c>
      <c r="B25" s="65" t="s">
        <v>137</v>
      </c>
      <c r="C25" s="59" t="s">
        <v>134</v>
      </c>
      <c r="D25" s="7"/>
      <c r="E25" s="7"/>
      <c r="F25" s="7"/>
      <c r="G25" s="7"/>
      <c r="H25" s="7"/>
      <c r="I25" s="7"/>
      <c r="J25" s="93">
        <v>220000</v>
      </c>
      <c r="K25" s="7"/>
      <c r="L25" s="7"/>
      <c r="M25" s="7"/>
      <c r="N25" s="7"/>
      <c r="O25" s="7"/>
      <c r="P25" s="7"/>
      <c r="Q25" s="110"/>
      <c r="R25" s="105">
        <f>(Table1567123[[#This Row],[Commercial Bid Price per case for NOI ($)]]-Table1567123[[#This Row],[Pass-Thru Value per case ($)]])+Table1567123[[#This Row],[Region 1: Fixed Fee Per Case ($)]]</f>
        <v>0</v>
      </c>
      <c r="S25" s="18" t="e">
        <f>(Table1567123[[#This Row],[Commercial Bid Price per case for NOI ($)]]+Table1567123[[#This Row],[Region 1: Fixed Fee Per Case ($)]])/Table1567123[[#This Row],['# of CN Servings per case]]</f>
        <v>#DIV/0!</v>
      </c>
      <c r="T25" s="118" t="e">
        <f>Table1567123[[#This Row],[Total Cost Per Serving (N+O)/I]]*Table1567123[[#This Row],[Estimated Servings Annual]]</f>
        <v>#DIV/0!</v>
      </c>
      <c r="U25" s="105">
        <f>(Table1567123[[#This Row],[Commercial Bid Price per case for NOI ($)]]-Table1567123[[#This Row],[Pass-Thru Value per case ($)]])+Table1567123[[#This Row],[Region 2: Fixed Fee Per Case ($)]]</f>
        <v>0</v>
      </c>
      <c r="V25" s="19" t="e">
        <f>(Table1567123[[#This Row],[Commercial Bid Price per case for NOI ($)]]+Table1567123[[#This Row],[Region 2: Fixed Fee Per Case ($)]])/Table1567123[[#This Row],['# of CN Servings per case]]</f>
        <v>#DIV/0!</v>
      </c>
      <c r="W25" s="20" t="e">
        <f>Table1567123[[#This Row],[Total Cost Per Serving (N+P)/I]]*Table1567123[[#This Row],[Estimated Servings Annual]]</f>
        <v>#DIV/0!</v>
      </c>
    </row>
    <row r="26" spans="1:23" ht="30" x14ac:dyDescent="0.25">
      <c r="A26" s="45" t="s">
        <v>131</v>
      </c>
      <c r="B26" s="65" t="s">
        <v>137</v>
      </c>
      <c r="C26" s="59" t="s">
        <v>134</v>
      </c>
      <c r="D26" s="7"/>
      <c r="E26" s="7"/>
      <c r="F26" s="7"/>
      <c r="G26" s="7"/>
      <c r="H26" s="7"/>
      <c r="I26" s="7"/>
      <c r="J26" s="93">
        <v>220000</v>
      </c>
      <c r="K26" s="7"/>
      <c r="L26" s="7"/>
      <c r="M26" s="7"/>
      <c r="N26" s="7"/>
      <c r="O26" s="7"/>
      <c r="P26" s="7"/>
      <c r="Q26" s="110"/>
      <c r="R26" s="105">
        <f>(Table1567123[[#This Row],[Commercial Bid Price per case for NOI ($)]]-Table1567123[[#This Row],[Pass-Thru Value per case ($)]])+Table1567123[[#This Row],[Region 1: Fixed Fee Per Case ($)]]</f>
        <v>0</v>
      </c>
      <c r="S26" s="18" t="e">
        <f>(Table1567123[[#This Row],[Commercial Bid Price per case for NOI ($)]]+Table1567123[[#This Row],[Region 1: Fixed Fee Per Case ($)]])/Table1567123[[#This Row],['# of CN Servings per case]]</f>
        <v>#DIV/0!</v>
      </c>
      <c r="T26" s="118" t="e">
        <f>Table1567123[[#This Row],[Total Cost Per Serving (N+O)/I]]*Table1567123[[#This Row],[Estimated Servings Annual]]</f>
        <v>#DIV/0!</v>
      </c>
      <c r="U26" s="105">
        <f>(Table1567123[[#This Row],[Commercial Bid Price per case for NOI ($)]]-Table1567123[[#This Row],[Pass-Thru Value per case ($)]])+Table1567123[[#This Row],[Region 2: Fixed Fee Per Case ($)]]</f>
        <v>0</v>
      </c>
      <c r="V26" s="19" t="e">
        <f>(Table1567123[[#This Row],[Commercial Bid Price per case for NOI ($)]]+Table1567123[[#This Row],[Region 2: Fixed Fee Per Case ($)]])/Table1567123[[#This Row],['# of CN Servings per case]]</f>
        <v>#DIV/0!</v>
      </c>
      <c r="W26" s="20" t="e">
        <f>Table1567123[[#This Row],[Total Cost Per Serving (N+P)/I]]*Table1567123[[#This Row],[Estimated Servings Annual]]</f>
        <v>#DIV/0!</v>
      </c>
    </row>
    <row r="27" spans="1:23" ht="30" x14ac:dyDescent="0.25">
      <c r="A27" s="45" t="s">
        <v>131</v>
      </c>
      <c r="B27" s="65" t="s">
        <v>137</v>
      </c>
      <c r="C27" s="7" t="s">
        <v>13</v>
      </c>
      <c r="D27" s="7"/>
      <c r="E27" s="7"/>
      <c r="F27" s="7"/>
      <c r="G27" s="7"/>
      <c r="H27" s="7"/>
      <c r="I27" s="7"/>
      <c r="J27" s="93">
        <v>220000</v>
      </c>
      <c r="K27" s="7"/>
      <c r="L27" s="7"/>
      <c r="M27" s="7"/>
      <c r="N27" s="7"/>
      <c r="O27" s="7"/>
      <c r="P27" s="7"/>
      <c r="Q27" s="110"/>
      <c r="R27" s="105">
        <f>(Table1567123[[#This Row],[Commercial Bid Price per case for NOI ($)]]-Table1567123[[#This Row],[Pass-Thru Value per case ($)]])+Table1567123[[#This Row],[Region 1: Fixed Fee Per Case ($)]]</f>
        <v>0</v>
      </c>
      <c r="S27" s="18" t="e">
        <f>(Table1567123[[#This Row],[Commercial Bid Price per case for NOI ($)]]+Table1567123[[#This Row],[Region 1: Fixed Fee Per Case ($)]])/Table1567123[[#This Row],['# of CN Servings per case]]</f>
        <v>#DIV/0!</v>
      </c>
      <c r="T27" s="118" t="e">
        <f>Table1567123[[#This Row],[Total Cost Per Serving (N+O)/I]]*Table1567123[[#This Row],[Estimated Servings Annual]]</f>
        <v>#DIV/0!</v>
      </c>
      <c r="U27" s="105">
        <f>(Table1567123[[#This Row],[Commercial Bid Price per case for NOI ($)]]-Table1567123[[#This Row],[Pass-Thru Value per case ($)]])+Table1567123[[#This Row],[Region 2: Fixed Fee Per Case ($)]]</f>
        <v>0</v>
      </c>
      <c r="V27" s="19" t="e">
        <f>(Table1567123[[#This Row],[Commercial Bid Price per case for NOI ($)]]+Table1567123[[#This Row],[Region 2: Fixed Fee Per Case ($)]])/Table1567123[[#This Row],['# of CN Servings per case]]</f>
        <v>#DIV/0!</v>
      </c>
      <c r="W27" s="20" t="e">
        <f>Table1567123[[#This Row],[Total Cost Per Serving (N+P)/I]]*Table1567123[[#This Row],[Estimated Servings Annual]]</f>
        <v>#DIV/0!</v>
      </c>
    </row>
    <row r="28" spans="1:23" ht="30" x14ac:dyDescent="0.25">
      <c r="A28" s="45" t="s">
        <v>131</v>
      </c>
      <c r="B28" s="65" t="s">
        <v>137</v>
      </c>
      <c r="C28" s="7" t="s">
        <v>13</v>
      </c>
      <c r="D28" s="7"/>
      <c r="E28" s="7"/>
      <c r="F28" s="7"/>
      <c r="G28" s="7"/>
      <c r="H28" s="7"/>
      <c r="I28" s="7"/>
      <c r="J28" s="93">
        <v>220000</v>
      </c>
      <c r="K28" s="7"/>
      <c r="L28" s="7"/>
      <c r="M28" s="7"/>
      <c r="N28" s="7"/>
      <c r="O28" s="7"/>
      <c r="P28" s="7"/>
      <c r="Q28" s="110"/>
      <c r="R28" s="105">
        <f>(Table1567123[[#This Row],[Commercial Bid Price per case for NOI ($)]]-Table1567123[[#This Row],[Pass-Thru Value per case ($)]])+Table1567123[[#This Row],[Region 1: Fixed Fee Per Case ($)]]</f>
        <v>0</v>
      </c>
      <c r="S28" s="18" t="e">
        <f>(Table1567123[[#This Row],[Commercial Bid Price per case for NOI ($)]]+Table1567123[[#This Row],[Region 1: Fixed Fee Per Case ($)]])/Table1567123[[#This Row],['# of CN Servings per case]]</f>
        <v>#DIV/0!</v>
      </c>
      <c r="T28" s="118" t="e">
        <f>Table1567123[[#This Row],[Total Cost Per Serving (N+O)/I]]*Table1567123[[#This Row],[Estimated Servings Annual]]</f>
        <v>#DIV/0!</v>
      </c>
      <c r="U28" s="105">
        <f>(Table1567123[[#This Row],[Commercial Bid Price per case for NOI ($)]]-Table1567123[[#This Row],[Pass-Thru Value per case ($)]])+Table1567123[[#This Row],[Region 2: Fixed Fee Per Case ($)]]</f>
        <v>0</v>
      </c>
      <c r="V28" s="19" t="e">
        <f>(Table1567123[[#This Row],[Commercial Bid Price per case for NOI ($)]]+Table1567123[[#This Row],[Region 2: Fixed Fee Per Case ($)]])/Table1567123[[#This Row],['# of CN Servings per case]]</f>
        <v>#DIV/0!</v>
      </c>
      <c r="W28" s="20" t="e">
        <f>Table1567123[[#This Row],[Total Cost Per Serving (N+P)/I]]*Table1567123[[#This Row],[Estimated Servings Annual]]</f>
        <v>#DIV/0!</v>
      </c>
    </row>
    <row r="29" spans="1:23" ht="30" x14ac:dyDescent="0.25">
      <c r="A29" s="45" t="s">
        <v>131</v>
      </c>
      <c r="B29" s="65" t="s">
        <v>137</v>
      </c>
      <c r="C29" s="7" t="s">
        <v>13</v>
      </c>
      <c r="D29" s="7"/>
      <c r="E29" s="7"/>
      <c r="F29" s="7"/>
      <c r="G29" s="7"/>
      <c r="H29" s="7"/>
      <c r="I29" s="7"/>
      <c r="J29" s="93">
        <v>220000</v>
      </c>
      <c r="K29" s="7"/>
      <c r="L29" s="7"/>
      <c r="M29" s="7"/>
      <c r="N29" s="7"/>
      <c r="O29" s="7"/>
      <c r="P29" s="7"/>
      <c r="Q29" s="110"/>
      <c r="R29" s="105">
        <f>(Table1567123[[#This Row],[Commercial Bid Price per case for NOI ($)]]-Table1567123[[#This Row],[Pass-Thru Value per case ($)]])+Table1567123[[#This Row],[Region 1: Fixed Fee Per Case ($)]]</f>
        <v>0</v>
      </c>
      <c r="S29" s="18" t="e">
        <f>(Table1567123[[#This Row],[Commercial Bid Price per case for NOI ($)]]+Table1567123[[#This Row],[Region 1: Fixed Fee Per Case ($)]])/Table1567123[[#This Row],['# of CN Servings per case]]</f>
        <v>#DIV/0!</v>
      </c>
      <c r="T29" s="118" t="e">
        <f>Table1567123[[#This Row],[Total Cost Per Serving (N+O)/I]]*Table1567123[[#This Row],[Estimated Servings Annual]]</f>
        <v>#DIV/0!</v>
      </c>
      <c r="U29" s="105">
        <f>(Table1567123[[#This Row],[Commercial Bid Price per case for NOI ($)]]-Table1567123[[#This Row],[Pass-Thru Value per case ($)]])+Table1567123[[#This Row],[Region 2: Fixed Fee Per Case ($)]]</f>
        <v>0</v>
      </c>
      <c r="V29" s="19" t="e">
        <f>(Table1567123[[#This Row],[Commercial Bid Price per case for NOI ($)]]+Table1567123[[#This Row],[Region 2: Fixed Fee Per Case ($)]])/Table1567123[[#This Row],['# of CN Servings per case]]</f>
        <v>#DIV/0!</v>
      </c>
      <c r="W29" s="20" t="e">
        <f>Table1567123[[#This Row],[Total Cost Per Serving (N+P)/I]]*Table1567123[[#This Row],[Estimated Servings Annual]]</f>
        <v>#DIV/0!</v>
      </c>
    </row>
    <row r="30" spans="1:23" ht="30.75" thickBot="1" x14ac:dyDescent="0.3">
      <c r="A30" s="45" t="s">
        <v>131</v>
      </c>
      <c r="B30" s="66" t="s">
        <v>137</v>
      </c>
      <c r="C30" s="9" t="s">
        <v>13</v>
      </c>
      <c r="D30" s="9"/>
      <c r="E30" s="9"/>
      <c r="F30" s="9"/>
      <c r="G30" s="9"/>
      <c r="H30" s="9"/>
      <c r="I30" s="9"/>
      <c r="J30" s="94">
        <v>220000</v>
      </c>
      <c r="K30" s="9"/>
      <c r="L30" s="9"/>
      <c r="M30" s="9"/>
      <c r="N30" s="9"/>
      <c r="O30" s="9"/>
      <c r="P30" s="9"/>
      <c r="Q30" s="111"/>
      <c r="R30" s="106">
        <f>(Table1567123[[#This Row],[Commercial Bid Price per case for NOI ($)]]-Table1567123[[#This Row],[Pass-Thru Value per case ($)]])+Table1567123[[#This Row],[Region 1: Fixed Fee Per Case ($)]]</f>
        <v>0</v>
      </c>
      <c r="S30" s="21" t="e">
        <f>(Table1567123[[#This Row],[Commercial Bid Price per case for NOI ($)]]+Table1567123[[#This Row],[Region 1: Fixed Fee Per Case ($)]])/Table1567123[[#This Row],['# of CN Servings per case]]</f>
        <v>#DIV/0!</v>
      </c>
      <c r="T30" s="120" t="e">
        <f>Table1567123[[#This Row],[Total Cost Per Serving (N+O)/I]]*Table1567123[[#This Row],[Estimated Servings Annual]]</f>
        <v>#DIV/0!</v>
      </c>
      <c r="U30" s="106">
        <f>(Table1567123[[#This Row],[Commercial Bid Price per case for NOI ($)]]-Table1567123[[#This Row],[Pass-Thru Value per case ($)]])+Table1567123[[#This Row],[Region 2: Fixed Fee Per Case ($)]]</f>
        <v>0</v>
      </c>
      <c r="V30" s="22" t="e">
        <f>(Table1567123[[#This Row],[Commercial Bid Price per case for NOI ($)]]+Table1567123[[#This Row],[Region 2: Fixed Fee Per Case ($)]])/Table1567123[[#This Row],['# of CN Servings per case]]</f>
        <v>#DIV/0!</v>
      </c>
      <c r="W30" s="23" t="e">
        <f>Table1567123[[#This Row],[Total Cost Per Serving (N+P)/I]]*Table1567123[[#This Row],[Estimated Servings Annual]]</f>
        <v>#DIV/0!</v>
      </c>
    </row>
    <row r="31" spans="1:23" ht="30.75" thickBot="1" x14ac:dyDescent="0.3">
      <c r="A31" s="45" t="s">
        <v>131</v>
      </c>
      <c r="B31" s="64" t="s">
        <v>138</v>
      </c>
      <c r="C31" s="60" t="s">
        <v>136</v>
      </c>
      <c r="D31" s="4"/>
      <c r="E31" s="4"/>
      <c r="F31" s="4"/>
      <c r="G31" s="4"/>
      <c r="H31" s="4"/>
      <c r="I31" s="4"/>
      <c r="J31" s="92">
        <v>120000</v>
      </c>
      <c r="K31" s="4"/>
      <c r="L31" s="4"/>
      <c r="M31" s="4"/>
      <c r="N31" s="4"/>
      <c r="O31" s="4"/>
      <c r="P31" s="4"/>
      <c r="Q31" s="109"/>
      <c r="R31" s="104">
        <f>(Table1567123[[#This Row],[Commercial Bid Price per case for NOI ($)]]-Table1567123[[#This Row],[Pass-Thru Value per case ($)]])+Table1567123[[#This Row],[Region 1: Fixed Fee Per Case ($)]]</f>
        <v>0</v>
      </c>
      <c r="S31" s="15" t="e">
        <f>(Table1567123[[#This Row],[Commercial Bid Price per case for NOI ($)]]+Table1567123[[#This Row],[Region 1: Fixed Fee Per Case ($)]])/Table1567123[[#This Row],['# of CN Servings per case]]</f>
        <v>#DIV/0!</v>
      </c>
      <c r="T31" s="115" t="e">
        <f>Table1567123[[#This Row],[Total Cost Per Serving (N+O)/I]]*Table1567123[[#This Row],[Estimated Servings Annual]]</f>
        <v>#DIV/0!</v>
      </c>
      <c r="U31" s="104">
        <f>(Table1567123[[#This Row],[Commercial Bid Price per case for NOI ($)]]-Table1567123[[#This Row],[Pass-Thru Value per case ($)]])+Table1567123[[#This Row],[Region 2: Fixed Fee Per Case ($)]]</f>
        <v>0</v>
      </c>
      <c r="V31" s="16" t="e">
        <f>(Table1567123[[#This Row],[Commercial Bid Price per case for NOI ($)]]+Table1567123[[#This Row],[Region 2: Fixed Fee Per Case ($)]])/Table1567123[[#This Row],['# of CN Servings per case]]</f>
        <v>#DIV/0!</v>
      </c>
      <c r="W31" s="17" t="e">
        <f>Table1567123[[#This Row],[Total Cost Per Serving (N+P)/I]]*Table1567123[[#This Row],[Estimated Servings Annual]]</f>
        <v>#DIV/0!</v>
      </c>
    </row>
    <row r="32" spans="1:23" ht="30.75" thickBot="1" x14ac:dyDescent="0.3">
      <c r="A32" s="45" t="s">
        <v>131</v>
      </c>
      <c r="B32" s="65" t="s">
        <v>138</v>
      </c>
      <c r="C32" s="59" t="s">
        <v>136</v>
      </c>
      <c r="D32" s="7"/>
      <c r="E32" s="7"/>
      <c r="F32" s="7"/>
      <c r="G32" s="7"/>
      <c r="H32" s="7"/>
      <c r="I32" s="7"/>
      <c r="J32" s="92">
        <v>120000</v>
      </c>
      <c r="K32" s="7"/>
      <c r="L32" s="7"/>
      <c r="M32" s="7"/>
      <c r="N32" s="7"/>
      <c r="O32" s="7"/>
      <c r="P32" s="7"/>
      <c r="Q32" s="110"/>
      <c r="R32" s="105">
        <f>(Table1567123[[#This Row],[Commercial Bid Price per case for NOI ($)]]-Table1567123[[#This Row],[Pass-Thru Value per case ($)]])+Table1567123[[#This Row],[Region 1: Fixed Fee Per Case ($)]]</f>
        <v>0</v>
      </c>
      <c r="S32" s="18" t="e">
        <f>(Table1567123[[#This Row],[Commercial Bid Price per case for NOI ($)]]+Table1567123[[#This Row],[Region 1: Fixed Fee Per Case ($)]])/Table1567123[[#This Row],['# of CN Servings per case]]</f>
        <v>#DIV/0!</v>
      </c>
      <c r="T32" s="118" t="e">
        <f>Table1567123[[#This Row],[Total Cost Per Serving (N+O)/I]]*Table1567123[[#This Row],[Estimated Servings Annual]]</f>
        <v>#DIV/0!</v>
      </c>
      <c r="U32" s="105">
        <f>(Table1567123[[#This Row],[Commercial Bid Price per case for NOI ($)]]-Table1567123[[#This Row],[Pass-Thru Value per case ($)]])+Table1567123[[#This Row],[Region 2: Fixed Fee Per Case ($)]]</f>
        <v>0</v>
      </c>
      <c r="V32" s="19" t="e">
        <f>(Table1567123[[#This Row],[Commercial Bid Price per case for NOI ($)]]+Table1567123[[#This Row],[Region 2: Fixed Fee Per Case ($)]])/Table1567123[[#This Row],['# of CN Servings per case]]</f>
        <v>#DIV/0!</v>
      </c>
      <c r="W32" s="20" t="e">
        <f>Table1567123[[#This Row],[Total Cost Per Serving (N+P)/I]]*Table1567123[[#This Row],[Estimated Servings Annual]]</f>
        <v>#DIV/0!</v>
      </c>
    </row>
    <row r="33" spans="1:23" ht="30.75" thickBot="1" x14ac:dyDescent="0.3">
      <c r="A33" s="45" t="s">
        <v>131</v>
      </c>
      <c r="B33" s="65" t="s">
        <v>138</v>
      </c>
      <c r="C33" s="59" t="s">
        <v>135</v>
      </c>
      <c r="D33" s="7"/>
      <c r="E33" s="7"/>
      <c r="F33" s="7"/>
      <c r="G33" s="7"/>
      <c r="H33" s="7"/>
      <c r="I33" s="7"/>
      <c r="J33" s="92">
        <v>120000</v>
      </c>
      <c r="K33" s="7"/>
      <c r="L33" s="7"/>
      <c r="M33" s="7"/>
      <c r="N33" s="7"/>
      <c r="O33" s="7"/>
      <c r="P33" s="7"/>
      <c r="Q33" s="110"/>
      <c r="R33" s="105">
        <f>(Table1567123[[#This Row],[Commercial Bid Price per case for NOI ($)]]-Table1567123[[#This Row],[Pass-Thru Value per case ($)]])+Table1567123[[#This Row],[Region 1: Fixed Fee Per Case ($)]]</f>
        <v>0</v>
      </c>
      <c r="S33" s="18" t="e">
        <f>(Table1567123[[#This Row],[Commercial Bid Price per case for NOI ($)]]+Table1567123[[#This Row],[Region 1: Fixed Fee Per Case ($)]])/Table1567123[[#This Row],['# of CN Servings per case]]</f>
        <v>#DIV/0!</v>
      </c>
      <c r="T33" s="118" t="e">
        <f>Table1567123[[#This Row],[Total Cost Per Serving (N+O)/I]]*Table1567123[[#This Row],[Estimated Servings Annual]]</f>
        <v>#DIV/0!</v>
      </c>
      <c r="U33" s="105">
        <f>(Table1567123[[#This Row],[Commercial Bid Price per case for NOI ($)]]-Table1567123[[#This Row],[Pass-Thru Value per case ($)]])+Table1567123[[#This Row],[Region 2: Fixed Fee Per Case ($)]]</f>
        <v>0</v>
      </c>
      <c r="V33" s="19" t="e">
        <f>(Table1567123[[#This Row],[Commercial Bid Price per case for NOI ($)]]+Table1567123[[#This Row],[Region 2: Fixed Fee Per Case ($)]])/Table1567123[[#This Row],['# of CN Servings per case]]</f>
        <v>#DIV/0!</v>
      </c>
      <c r="W33" s="20" t="e">
        <f>Table1567123[[#This Row],[Total Cost Per Serving (N+P)/I]]*Table1567123[[#This Row],[Estimated Servings Annual]]</f>
        <v>#DIV/0!</v>
      </c>
    </row>
    <row r="34" spans="1:23" ht="30.75" thickBot="1" x14ac:dyDescent="0.3">
      <c r="A34" s="45" t="s">
        <v>131</v>
      </c>
      <c r="B34" s="65" t="s">
        <v>138</v>
      </c>
      <c r="C34" s="59" t="s">
        <v>135</v>
      </c>
      <c r="D34" s="7"/>
      <c r="E34" s="7"/>
      <c r="F34" s="7"/>
      <c r="G34" s="7"/>
      <c r="H34" s="7"/>
      <c r="I34" s="7"/>
      <c r="J34" s="92">
        <v>120000</v>
      </c>
      <c r="K34" s="7"/>
      <c r="L34" s="7"/>
      <c r="M34" s="7"/>
      <c r="N34" s="7"/>
      <c r="O34" s="7"/>
      <c r="P34" s="7"/>
      <c r="Q34" s="110"/>
      <c r="R34" s="105">
        <f>(Table1567123[[#This Row],[Commercial Bid Price per case for NOI ($)]]-Table1567123[[#This Row],[Pass-Thru Value per case ($)]])+Table1567123[[#This Row],[Region 1: Fixed Fee Per Case ($)]]</f>
        <v>0</v>
      </c>
      <c r="S34" s="18" t="e">
        <f>(Table1567123[[#This Row],[Commercial Bid Price per case for NOI ($)]]+Table1567123[[#This Row],[Region 1: Fixed Fee Per Case ($)]])/Table1567123[[#This Row],['# of CN Servings per case]]</f>
        <v>#DIV/0!</v>
      </c>
      <c r="T34" s="118" t="e">
        <f>Table1567123[[#This Row],[Total Cost Per Serving (N+O)/I]]*Table1567123[[#This Row],[Estimated Servings Annual]]</f>
        <v>#DIV/0!</v>
      </c>
      <c r="U34" s="105">
        <f>(Table1567123[[#This Row],[Commercial Bid Price per case for NOI ($)]]-Table1567123[[#This Row],[Pass-Thru Value per case ($)]])+Table1567123[[#This Row],[Region 2: Fixed Fee Per Case ($)]]</f>
        <v>0</v>
      </c>
      <c r="V34" s="19" t="e">
        <f>(Table1567123[[#This Row],[Commercial Bid Price per case for NOI ($)]]+Table1567123[[#This Row],[Region 2: Fixed Fee Per Case ($)]])/Table1567123[[#This Row],['# of CN Servings per case]]</f>
        <v>#DIV/0!</v>
      </c>
      <c r="W34" s="20" t="e">
        <f>Table1567123[[#This Row],[Total Cost Per Serving (N+P)/I]]*Table1567123[[#This Row],[Estimated Servings Annual]]</f>
        <v>#DIV/0!</v>
      </c>
    </row>
    <row r="35" spans="1:23" ht="30" x14ac:dyDescent="0.25">
      <c r="A35" s="45" t="s">
        <v>131</v>
      </c>
      <c r="B35" s="65" t="s">
        <v>138</v>
      </c>
      <c r="C35" s="59" t="s">
        <v>134</v>
      </c>
      <c r="D35" s="7"/>
      <c r="E35" s="7"/>
      <c r="F35" s="7"/>
      <c r="G35" s="7"/>
      <c r="H35" s="7"/>
      <c r="I35" s="7"/>
      <c r="J35" s="92">
        <v>120000</v>
      </c>
      <c r="K35" s="7"/>
      <c r="L35" s="7"/>
      <c r="M35" s="7"/>
      <c r="N35" s="7"/>
      <c r="O35" s="7"/>
      <c r="P35" s="7"/>
      <c r="Q35" s="110"/>
      <c r="R35" s="105">
        <f>(Table1567123[[#This Row],[Commercial Bid Price per case for NOI ($)]]-Table1567123[[#This Row],[Pass-Thru Value per case ($)]])+Table1567123[[#This Row],[Region 1: Fixed Fee Per Case ($)]]</f>
        <v>0</v>
      </c>
      <c r="S35" s="18" t="e">
        <f>(Table1567123[[#This Row],[Commercial Bid Price per case for NOI ($)]]+Table1567123[[#This Row],[Region 1: Fixed Fee Per Case ($)]])/Table1567123[[#This Row],['# of CN Servings per case]]</f>
        <v>#DIV/0!</v>
      </c>
      <c r="T35" s="118" t="e">
        <f>Table1567123[[#This Row],[Total Cost Per Serving (N+O)/I]]*Table1567123[[#This Row],[Estimated Servings Annual]]</f>
        <v>#DIV/0!</v>
      </c>
      <c r="U35" s="105">
        <f>(Table1567123[[#This Row],[Commercial Bid Price per case for NOI ($)]]-Table1567123[[#This Row],[Pass-Thru Value per case ($)]])+Table1567123[[#This Row],[Region 2: Fixed Fee Per Case ($)]]</f>
        <v>0</v>
      </c>
      <c r="V35" s="24" t="e">
        <f>(Table1567123[[#This Row],[Commercial Bid Price per case for NOI ($)]]+Table1567123[[#This Row],[Region 2: Fixed Fee Per Case ($)]])/Table1567123[[#This Row],['# of CN Servings per case]]</f>
        <v>#DIV/0!</v>
      </c>
      <c r="W35" s="20" t="e">
        <f>Table1567123[[#This Row],[Total Cost Per Serving (N+P)/I]]*Table1567123[[#This Row],[Estimated Servings Annual]]</f>
        <v>#DIV/0!</v>
      </c>
    </row>
    <row r="36" spans="1:23" ht="30" x14ac:dyDescent="0.25">
      <c r="A36" s="45" t="s">
        <v>131</v>
      </c>
      <c r="B36" s="65" t="s">
        <v>138</v>
      </c>
      <c r="C36" s="59" t="s">
        <v>134</v>
      </c>
      <c r="D36" s="7"/>
      <c r="E36" s="7"/>
      <c r="F36" s="7"/>
      <c r="G36" s="7"/>
      <c r="H36" s="7"/>
      <c r="I36" s="7"/>
      <c r="J36" s="93">
        <v>120000</v>
      </c>
      <c r="K36" s="7"/>
      <c r="L36" s="7"/>
      <c r="M36" s="7"/>
      <c r="N36" s="7"/>
      <c r="O36" s="7"/>
      <c r="P36" s="7"/>
      <c r="Q36" s="110"/>
      <c r="R36" s="105">
        <f>(Table1567123[[#This Row],[Commercial Bid Price per case for NOI ($)]]-Table1567123[[#This Row],[Pass-Thru Value per case ($)]])+Table1567123[[#This Row],[Region 1: Fixed Fee Per Case ($)]]</f>
        <v>0</v>
      </c>
      <c r="S36" s="18" t="e">
        <f>(Table1567123[[#This Row],[Commercial Bid Price per case for NOI ($)]]+Table1567123[[#This Row],[Region 1: Fixed Fee Per Case ($)]])/Table1567123[[#This Row],['# of CN Servings per case]]</f>
        <v>#DIV/0!</v>
      </c>
      <c r="T36" s="118" t="e">
        <f>Table1567123[[#This Row],[Total Cost Per Serving (N+O)/I]]*Table1567123[[#This Row],[Estimated Servings Annual]]</f>
        <v>#DIV/0!</v>
      </c>
      <c r="U36" s="105">
        <f>(Table1567123[[#This Row],[Commercial Bid Price per case for NOI ($)]]-Table1567123[[#This Row],[Pass-Thru Value per case ($)]])+Table1567123[[#This Row],[Region 2: Fixed Fee Per Case ($)]]</f>
        <v>0</v>
      </c>
      <c r="V36" s="24" t="e">
        <f>(Table1567123[[#This Row],[Commercial Bid Price per case for NOI ($)]]+Table1567123[[#This Row],[Region 2: Fixed Fee Per Case ($)]])/Table1567123[[#This Row],['# of CN Servings per case]]</f>
        <v>#DIV/0!</v>
      </c>
      <c r="W36" s="20" t="e">
        <f>Table1567123[[#This Row],[Total Cost Per Serving (N+P)/I]]*Table1567123[[#This Row],[Estimated Servings Annual]]</f>
        <v>#DIV/0!</v>
      </c>
    </row>
    <row r="37" spans="1:23" ht="30" x14ac:dyDescent="0.25">
      <c r="A37" s="45" t="s">
        <v>131</v>
      </c>
      <c r="B37" s="65" t="s">
        <v>138</v>
      </c>
      <c r="C37" s="7" t="s">
        <v>13</v>
      </c>
      <c r="D37" s="7"/>
      <c r="E37" s="7"/>
      <c r="F37" s="7"/>
      <c r="G37" s="7"/>
      <c r="H37" s="7"/>
      <c r="I37" s="7"/>
      <c r="J37" s="93">
        <v>120000</v>
      </c>
      <c r="K37" s="7"/>
      <c r="L37" s="7"/>
      <c r="M37" s="7"/>
      <c r="N37" s="7"/>
      <c r="O37" s="7"/>
      <c r="P37" s="7"/>
      <c r="Q37" s="110"/>
      <c r="R37" s="105">
        <f>(Table1567123[[#This Row],[Commercial Bid Price per case for NOI ($)]]-Table1567123[[#This Row],[Pass-Thru Value per case ($)]])+Table1567123[[#This Row],[Region 1: Fixed Fee Per Case ($)]]</f>
        <v>0</v>
      </c>
      <c r="S37" s="18" t="e">
        <f>(Table1567123[[#This Row],[Commercial Bid Price per case for NOI ($)]]+Table1567123[[#This Row],[Region 1: Fixed Fee Per Case ($)]])/Table1567123[[#This Row],['# of CN Servings per case]]</f>
        <v>#DIV/0!</v>
      </c>
      <c r="T37" s="118" t="e">
        <f>Table1567123[[#This Row],[Total Cost Per Serving (N+O)/I]]*Table1567123[[#This Row],[Estimated Servings Annual]]</f>
        <v>#DIV/0!</v>
      </c>
      <c r="U37" s="105">
        <f>(Table1567123[[#This Row],[Commercial Bid Price per case for NOI ($)]]-Table1567123[[#This Row],[Pass-Thru Value per case ($)]])+Table1567123[[#This Row],[Region 2: Fixed Fee Per Case ($)]]</f>
        <v>0</v>
      </c>
      <c r="V37" s="24" t="e">
        <f>(Table1567123[[#This Row],[Commercial Bid Price per case for NOI ($)]]+Table1567123[[#This Row],[Region 2: Fixed Fee Per Case ($)]])/Table1567123[[#This Row],['# of CN Servings per case]]</f>
        <v>#DIV/0!</v>
      </c>
      <c r="W37" s="20" t="e">
        <f>Table1567123[[#This Row],[Total Cost Per Serving (N+P)/I]]*Table1567123[[#This Row],[Estimated Servings Annual]]</f>
        <v>#DIV/0!</v>
      </c>
    </row>
    <row r="38" spans="1:23" ht="30" x14ac:dyDescent="0.25">
      <c r="A38" s="45" t="s">
        <v>131</v>
      </c>
      <c r="B38" s="65" t="s">
        <v>138</v>
      </c>
      <c r="C38" s="7" t="s">
        <v>13</v>
      </c>
      <c r="D38" s="7"/>
      <c r="E38" s="7"/>
      <c r="F38" s="7"/>
      <c r="G38" s="7"/>
      <c r="H38" s="7"/>
      <c r="I38" s="7"/>
      <c r="J38" s="93">
        <v>120000</v>
      </c>
      <c r="K38" s="7"/>
      <c r="L38" s="7"/>
      <c r="M38" s="7"/>
      <c r="N38" s="7"/>
      <c r="O38" s="7"/>
      <c r="P38" s="7"/>
      <c r="Q38" s="110"/>
      <c r="R38" s="105">
        <f>(Table1567123[[#This Row],[Commercial Bid Price per case for NOI ($)]]-Table1567123[[#This Row],[Pass-Thru Value per case ($)]])+Table1567123[[#This Row],[Region 1: Fixed Fee Per Case ($)]]</f>
        <v>0</v>
      </c>
      <c r="S38" s="18" t="e">
        <f>(Table1567123[[#This Row],[Commercial Bid Price per case for NOI ($)]]+Table1567123[[#This Row],[Region 1: Fixed Fee Per Case ($)]])/Table1567123[[#This Row],['# of CN Servings per case]]</f>
        <v>#DIV/0!</v>
      </c>
      <c r="T38" s="118" t="e">
        <f>Table1567123[[#This Row],[Total Cost Per Serving (N+O)/I]]*Table1567123[[#This Row],[Estimated Servings Annual]]</f>
        <v>#DIV/0!</v>
      </c>
      <c r="U38" s="105">
        <f>(Table1567123[[#This Row],[Commercial Bid Price per case for NOI ($)]]-Table1567123[[#This Row],[Pass-Thru Value per case ($)]])+Table1567123[[#This Row],[Region 2: Fixed Fee Per Case ($)]]</f>
        <v>0</v>
      </c>
      <c r="V38" s="24" t="e">
        <f>(Table1567123[[#This Row],[Commercial Bid Price per case for NOI ($)]]+Table1567123[[#This Row],[Region 2: Fixed Fee Per Case ($)]])/Table1567123[[#This Row],['# of CN Servings per case]]</f>
        <v>#DIV/0!</v>
      </c>
      <c r="W38" s="20" t="e">
        <f>Table1567123[[#This Row],[Total Cost Per Serving (N+P)/I]]*Table1567123[[#This Row],[Estimated Servings Annual]]</f>
        <v>#DIV/0!</v>
      </c>
    </row>
    <row r="39" spans="1:23" ht="30" x14ac:dyDescent="0.25">
      <c r="A39" s="45" t="s">
        <v>131</v>
      </c>
      <c r="B39" s="65" t="s">
        <v>138</v>
      </c>
      <c r="C39" s="7" t="s">
        <v>13</v>
      </c>
      <c r="D39" s="7"/>
      <c r="E39" s="7"/>
      <c r="F39" s="7"/>
      <c r="G39" s="7"/>
      <c r="H39" s="7"/>
      <c r="I39" s="7"/>
      <c r="J39" s="93">
        <v>120000</v>
      </c>
      <c r="K39" s="7"/>
      <c r="L39" s="7"/>
      <c r="M39" s="7"/>
      <c r="N39" s="7"/>
      <c r="O39" s="7"/>
      <c r="P39" s="7"/>
      <c r="Q39" s="110"/>
      <c r="R39" s="105">
        <f>(Table1567123[[#This Row],[Commercial Bid Price per case for NOI ($)]]-Table1567123[[#This Row],[Pass-Thru Value per case ($)]])+Table1567123[[#This Row],[Region 1: Fixed Fee Per Case ($)]]</f>
        <v>0</v>
      </c>
      <c r="S39" s="18" t="e">
        <f>(Table1567123[[#This Row],[Commercial Bid Price per case for NOI ($)]]+Table1567123[[#This Row],[Region 1: Fixed Fee Per Case ($)]])/Table1567123[[#This Row],['# of CN Servings per case]]</f>
        <v>#DIV/0!</v>
      </c>
      <c r="T39" s="118" t="e">
        <f>Table1567123[[#This Row],[Total Cost Per Serving (N+O)/I]]*Table1567123[[#This Row],[Estimated Servings Annual]]</f>
        <v>#DIV/0!</v>
      </c>
      <c r="U39" s="105">
        <f>(Table1567123[[#This Row],[Commercial Bid Price per case for NOI ($)]]-Table1567123[[#This Row],[Pass-Thru Value per case ($)]])+Table1567123[[#This Row],[Region 2: Fixed Fee Per Case ($)]]</f>
        <v>0</v>
      </c>
      <c r="V39" s="24" t="e">
        <f>(Table1567123[[#This Row],[Commercial Bid Price per case for NOI ($)]]+Table1567123[[#This Row],[Region 2: Fixed Fee Per Case ($)]])/Table1567123[[#This Row],['# of CN Servings per case]]</f>
        <v>#DIV/0!</v>
      </c>
      <c r="W39" s="20" t="e">
        <f>Table1567123[[#This Row],[Total Cost Per Serving (N+P)/I]]*Table1567123[[#This Row],[Estimated Servings Annual]]</f>
        <v>#DIV/0!</v>
      </c>
    </row>
    <row r="40" spans="1:23" ht="30.75" thickBot="1" x14ac:dyDescent="0.3">
      <c r="A40" s="45" t="s">
        <v>131</v>
      </c>
      <c r="B40" s="66" t="s">
        <v>138</v>
      </c>
      <c r="C40" s="9" t="s">
        <v>13</v>
      </c>
      <c r="D40" s="9"/>
      <c r="E40" s="9"/>
      <c r="F40" s="9"/>
      <c r="G40" s="9"/>
      <c r="H40" s="9"/>
      <c r="I40" s="9"/>
      <c r="J40" s="94">
        <v>120000</v>
      </c>
      <c r="K40" s="9"/>
      <c r="L40" s="9"/>
      <c r="M40" s="9"/>
      <c r="N40" s="9"/>
      <c r="O40" s="9"/>
      <c r="P40" s="9"/>
      <c r="Q40" s="111"/>
      <c r="R40" s="106">
        <f>(Table1567123[[#This Row],[Commercial Bid Price per case for NOI ($)]]-Table1567123[[#This Row],[Pass-Thru Value per case ($)]])+Table1567123[[#This Row],[Region 1: Fixed Fee Per Case ($)]]</f>
        <v>0</v>
      </c>
      <c r="S40" s="21" t="e">
        <f>(Table1567123[[#This Row],[Commercial Bid Price per case for NOI ($)]]+Table1567123[[#This Row],[Region 1: Fixed Fee Per Case ($)]])/Table1567123[[#This Row],['# of CN Servings per case]]</f>
        <v>#DIV/0!</v>
      </c>
      <c r="T40" s="120" t="e">
        <f>Table1567123[[#This Row],[Total Cost Per Serving (N+O)/I]]*Table1567123[[#This Row],[Estimated Servings Annual]]</f>
        <v>#DIV/0!</v>
      </c>
      <c r="U40" s="106">
        <f>(Table1567123[[#This Row],[Commercial Bid Price per case for NOI ($)]]-Table1567123[[#This Row],[Pass-Thru Value per case ($)]])+Table1567123[[#This Row],[Region 2: Fixed Fee Per Case ($)]]</f>
        <v>0</v>
      </c>
      <c r="V40" s="25" t="e">
        <f>(Table1567123[[#This Row],[Commercial Bid Price per case for NOI ($)]]+Table1567123[[#This Row],[Region 2: Fixed Fee Per Case ($)]])/Table1567123[[#This Row],['# of CN Servings per case]]</f>
        <v>#DIV/0!</v>
      </c>
      <c r="W40" s="23" t="e">
        <f>Table1567123[[#This Row],[Total Cost Per Serving (N+P)/I]]*Table1567123[[#This Row],[Estimated Servings Annual]]</f>
        <v>#DIV/0!</v>
      </c>
    </row>
    <row r="41" spans="1:23" x14ac:dyDescent="0.25">
      <c r="A41" s="45" t="s">
        <v>131</v>
      </c>
      <c r="B41" s="42" t="s">
        <v>139</v>
      </c>
      <c r="C41" s="60" t="s">
        <v>136</v>
      </c>
      <c r="D41" s="4"/>
      <c r="E41" s="4"/>
      <c r="F41" s="4"/>
      <c r="G41" s="4"/>
      <c r="H41" s="4"/>
      <c r="I41" s="4"/>
      <c r="J41" s="92">
        <v>1600000</v>
      </c>
      <c r="K41" s="4"/>
      <c r="L41" s="4"/>
      <c r="M41" s="4"/>
      <c r="N41" s="4"/>
      <c r="O41" s="4"/>
      <c r="P41" s="4"/>
      <c r="Q41" s="109"/>
      <c r="R41" s="104">
        <f>(Table1567123[[#This Row],[Commercial Bid Price per case for NOI ($)]]-Table1567123[[#This Row],[Pass-Thru Value per case ($)]])+Table1567123[[#This Row],[Region 1: Fixed Fee Per Case ($)]]</f>
        <v>0</v>
      </c>
      <c r="S41" s="15" t="e">
        <f>(Table1567123[[#This Row],[Commercial Bid Price per case for NOI ($)]]+Table1567123[[#This Row],[Region 1: Fixed Fee Per Case ($)]])/Table1567123[[#This Row],['# of CN Servings per case]]</f>
        <v>#DIV/0!</v>
      </c>
      <c r="T41" s="115" t="e">
        <f>Table1567123[[#This Row],[Total Cost Per Serving (N+O)/I]]*Table1567123[[#This Row],[Estimated Servings Annual]]</f>
        <v>#DIV/0!</v>
      </c>
      <c r="U41" s="104">
        <f>(Table1567123[[#This Row],[Commercial Bid Price per case for NOI ($)]]-Table1567123[[#This Row],[Pass-Thru Value per case ($)]])+Table1567123[[#This Row],[Region 2: Fixed Fee Per Case ($)]]</f>
        <v>0</v>
      </c>
      <c r="V41" s="31" t="e">
        <f>(Table1567123[[#This Row],[Commercial Bid Price per case for NOI ($)]]+Table1567123[[#This Row],[Region 2: Fixed Fee Per Case ($)]])/Table1567123[[#This Row],['# of CN Servings per case]]</f>
        <v>#DIV/0!</v>
      </c>
      <c r="W41" s="17" t="e">
        <f>Table1567123[[#This Row],[Total Cost Per Serving (N+P)/I]]*Table1567123[[#This Row],[Estimated Servings Annual]]</f>
        <v>#DIV/0!</v>
      </c>
    </row>
    <row r="42" spans="1:23" x14ac:dyDescent="0.25">
      <c r="A42" s="45" t="s">
        <v>131</v>
      </c>
      <c r="B42" s="43" t="s">
        <v>139</v>
      </c>
      <c r="C42" s="59" t="s">
        <v>136</v>
      </c>
      <c r="D42" s="7"/>
      <c r="E42" s="7"/>
      <c r="F42" s="7"/>
      <c r="G42" s="7"/>
      <c r="H42" s="7"/>
      <c r="I42" s="7"/>
      <c r="J42" s="93">
        <v>1600000</v>
      </c>
      <c r="K42" s="7"/>
      <c r="L42" s="7"/>
      <c r="M42" s="7"/>
      <c r="N42" s="7"/>
      <c r="O42" s="7"/>
      <c r="P42" s="7"/>
      <c r="Q42" s="110"/>
      <c r="R42" s="105">
        <f>(Table1567123[[#This Row],[Commercial Bid Price per case for NOI ($)]]-Table1567123[[#This Row],[Pass-Thru Value per case ($)]])+Table1567123[[#This Row],[Region 1: Fixed Fee Per Case ($)]]</f>
        <v>0</v>
      </c>
      <c r="S42" s="18" t="e">
        <f>(Table1567123[[#This Row],[Commercial Bid Price per case for NOI ($)]]+Table1567123[[#This Row],[Region 1: Fixed Fee Per Case ($)]])/Table1567123[[#This Row],['# of CN Servings per case]]</f>
        <v>#DIV/0!</v>
      </c>
      <c r="T42" s="118" t="e">
        <f>Table1567123[[#This Row],[Total Cost Per Serving (N+O)/I]]*Table1567123[[#This Row],[Estimated Servings Annual]]</f>
        <v>#DIV/0!</v>
      </c>
      <c r="U42" s="105">
        <f>(Table1567123[[#This Row],[Commercial Bid Price per case for NOI ($)]]-Table1567123[[#This Row],[Pass-Thru Value per case ($)]])+Table1567123[[#This Row],[Region 2: Fixed Fee Per Case ($)]]</f>
        <v>0</v>
      </c>
      <c r="V42" s="24" t="e">
        <f>(Table1567123[[#This Row],[Commercial Bid Price per case for NOI ($)]]+Table1567123[[#This Row],[Region 2: Fixed Fee Per Case ($)]])/Table1567123[[#This Row],['# of CN Servings per case]]</f>
        <v>#DIV/0!</v>
      </c>
      <c r="W42" s="20" t="e">
        <f>Table1567123[[#This Row],[Total Cost Per Serving (N+P)/I]]*Table1567123[[#This Row],[Estimated Servings Annual]]</f>
        <v>#DIV/0!</v>
      </c>
    </row>
    <row r="43" spans="1:23" x14ac:dyDescent="0.25">
      <c r="A43" s="45" t="s">
        <v>131</v>
      </c>
      <c r="B43" s="43" t="s">
        <v>139</v>
      </c>
      <c r="C43" s="59" t="s">
        <v>135</v>
      </c>
      <c r="D43" s="7"/>
      <c r="E43" s="7"/>
      <c r="F43" s="7"/>
      <c r="G43" s="7"/>
      <c r="H43" s="7"/>
      <c r="I43" s="7"/>
      <c r="J43" s="93">
        <v>1600000</v>
      </c>
      <c r="K43" s="7"/>
      <c r="L43" s="7"/>
      <c r="M43" s="7"/>
      <c r="N43" s="7"/>
      <c r="O43" s="7"/>
      <c r="P43" s="7"/>
      <c r="Q43" s="110"/>
      <c r="R43" s="105">
        <f>(Table1567123[[#This Row],[Commercial Bid Price per case for NOI ($)]]-Table1567123[[#This Row],[Pass-Thru Value per case ($)]])+Table1567123[[#This Row],[Region 1: Fixed Fee Per Case ($)]]</f>
        <v>0</v>
      </c>
      <c r="S43" s="18" t="e">
        <f>(Table1567123[[#This Row],[Commercial Bid Price per case for NOI ($)]]+Table1567123[[#This Row],[Region 1: Fixed Fee Per Case ($)]])/Table1567123[[#This Row],['# of CN Servings per case]]</f>
        <v>#DIV/0!</v>
      </c>
      <c r="T43" s="118" t="e">
        <f>Table1567123[[#This Row],[Total Cost Per Serving (N+O)/I]]*Table1567123[[#This Row],[Estimated Servings Annual]]</f>
        <v>#DIV/0!</v>
      </c>
      <c r="U43" s="105">
        <f>(Table1567123[[#This Row],[Commercial Bid Price per case for NOI ($)]]-Table1567123[[#This Row],[Pass-Thru Value per case ($)]])+Table1567123[[#This Row],[Region 2: Fixed Fee Per Case ($)]]</f>
        <v>0</v>
      </c>
      <c r="V43" s="24" t="e">
        <f>(Table1567123[[#This Row],[Commercial Bid Price per case for NOI ($)]]+Table1567123[[#This Row],[Region 2: Fixed Fee Per Case ($)]])/Table1567123[[#This Row],['# of CN Servings per case]]</f>
        <v>#DIV/0!</v>
      </c>
      <c r="W43" s="20" t="e">
        <f>Table1567123[[#This Row],[Total Cost Per Serving (N+P)/I]]*Table1567123[[#This Row],[Estimated Servings Annual]]</f>
        <v>#DIV/0!</v>
      </c>
    </row>
    <row r="44" spans="1:23" x14ac:dyDescent="0.25">
      <c r="A44" s="45" t="s">
        <v>131</v>
      </c>
      <c r="B44" s="43" t="s">
        <v>139</v>
      </c>
      <c r="C44" s="59" t="s">
        <v>135</v>
      </c>
      <c r="D44" s="7"/>
      <c r="E44" s="7"/>
      <c r="F44" s="7"/>
      <c r="G44" s="7"/>
      <c r="H44" s="7"/>
      <c r="I44" s="7"/>
      <c r="J44" s="93">
        <v>1600000</v>
      </c>
      <c r="K44" s="7"/>
      <c r="L44" s="7"/>
      <c r="M44" s="7"/>
      <c r="N44" s="7"/>
      <c r="O44" s="7"/>
      <c r="P44" s="7"/>
      <c r="Q44" s="110"/>
      <c r="R44" s="105">
        <f>(Table1567123[[#This Row],[Commercial Bid Price per case for NOI ($)]]-Table1567123[[#This Row],[Pass-Thru Value per case ($)]])+Table1567123[[#This Row],[Region 1: Fixed Fee Per Case ($)]]</f>
        <v>0</v>
      </c>
      <c r="S44" s="18" t="e">
        <f>(Table1567123[[#This Row],[Commercial Bid Price per case for NOI ($)]]+Table1567123[[#This Row],[Region 1: Fixed Fee Per Case ($)]])/Table1567123[[#This Row],['# of CN Servings per case]]</f>
        <v>#DIV/0!</v>
      </c>
      <c r="T44" s="118" t="e">
        <f>Table1567123[[#This Row],[Total Cost Per Serving (N+O)/I]]*Table1567123[[#This Row],[Estimated Servings Annual]]</f>
        <v>#DIV/0!</v>
      </c>
      <c r="U44" s="105">
        <f>(Table1567123[[#This Row],[Commercial Bid Price per case for NOI ($)]]-Table1567123[[#This Row],[Pass-Thru Value per case ($)]])+Table1567123[[#This Row],[Region 2: Fixed Fee Per Case ($)]]</f>
        <v>0</v>
      </c>
      <c r="V44" s="24" t="e">
        <f>(Table1567123[[#This Row],[Commercial Bid Price per case for NOI ($)]]+Table1567123[[#This Row],[Region 2: Fixed Fee Per Case ($)]])/Table1567123[[#This Row],['# of CN Servings per case]]</f>
        <v>#DIV/0!</v>
      </c>
      <c r="W44" s="20" t="e">
        <f>Table1567123[[#This Row],[Total Cost Per Serving (N+P)/I]]*Table1567123[[#This Row],[Estimated Servings Annual]]</f>
        <v>#DIV/0!</v>
      </c>
    </row>
    <row r="45" spans="1:23" x14ac:dyDescent="0.25">
      <c r="A45" s="45" t="s">
        <v>131</v>
      </c>
      <c r="B45" s="43" t="s">
        <v>139</v>
      </c>
      <c r="C45" s="59" t="s">
        <v>134</v>
      </c>
      <c r="D45" s="7"/>
      <c r="E45" s="7"/>
      <c r="F45" s="7"/>
      <c r="G45" s="7"/>
      <c r="H45" s="7"/>
      <c r="I45" s="7"/>
      <c r="J45" s="93">
        <v>1600000</v>
      </c>
      <c r="K45" s="7"/>
      <c r="L45" s="7"/>
      <c r="M45" s="7"/>
      <c r="N45" s="7"/>
      <c r="O45" s="7"/>
      <c r="P45" s="7"/>
      <c r="Q45" s="110"/>
      <c r="R45" s="105">
        <f>(Table1567123[[#This Row],[Commercial Bid Price per case for NOI ($)]]-Table1567123[[#This Row],[Pass-Thru Value per case ($)]])+Table1567123[[#This Row],[Region 1: Fixed Fee Per Case ($)]]</f>
        <v>0</v>
      </c>
      <c r="S45" s="18" t="e">
        <f>(Table1567123[[#This Row],[Commercial Bid Price per case for NOI ($)]]+Table1567123[[#This Row],[Region 1: Fixed Fee Per Case ($)]])/Table1567123[[#This Row],['# of CN Servings per case]]</f>
        <v>#DIV/0!</v>
      </c>
      <c r="T45" s="118" t="e">
        <f>Table1567123[[#This Row],[Total Cost Per Serving (N+O)/I]]*Table1567123[[#This Row],[Estimated Servings Annual]]</f>
        <v>#DIV/0!</v>
      </c>
      <c r="U45" s="105">
        <f>(Table1567123[[#This Row],[Commercial Bid Price per case for NOI ($)]]-Table1567123[[#This Row],[Pass-Thru Value per case ($)]])+Table1567123[[#This Row],[Region 2: Fixed Fee Per Case ($)]]</f>
        <v>0</v>
      </c>
      <c r="V45" s="24" t="e">
        <f>(Table1567123[[#This Row],[Commercial Bid Price per case for NOI ($)]]+Table1567123[[#This Row],[Region 2: Fixed Fee Per Case ($)]])/Table1567123[[#This Row],['# of CN Servings per case]]</f>
        <v>#DIV/0!</v>
      </c>
      <c r="W45" s="20" t="e">
        <f>Table1567123[[#This Row],[Total Cost Per Serving (N+P)/I]]*Table1567123[[#This Row],[Estimated Servings Annual]]</f>
        <v>#DIV/0!</v>
      </c>
    </row>
    <row r="46" spans="1:23" x14ac:dyDescent="0.25">
      <c r="A46" s="45" t="s">
        <v>131</v>
      </c>
      <c r="B46" s="43" t="s">
        <v>139</v>
      </c>
      <c r="C46" s="59" t="s">
        <v>134</v>
      </c>
      <c r="D46" s="7"/>
      <c r="E46" s="7"/>
      <c r="F46" s="7"/>
      <c r="G46" s="7"/>
      <c r="H46" s="7"/>
      <c r="I46" s="7"/>
      <c r="J46" s="93">
        <v>1600000</v>
      </c>
      <c r="K46" s="7"/>
      <c r="L46" s="7"/>
      <c r="M46" s="7"/>
      <c r="N46" s="7"/>
      <c r="O46" s="7"/>
      <c r="P46" s="7"/>
      <c r="Q46" s="110"/>
      <c r="R46" s="105">
        <f>(Table1567123[[#This Row],[Commercial Bid Price per case for NOI ($)]]-Table1567123[[#This Row],[Pass-Thru Value per case ($)]])+Table1567123[[#This Row],[Region 1: Fixed Fee Per Case ($)]]</f>
        <v>0</v>
      </c>
      <c r="S46" s="18" t="e">
        <f>(Table1567123[[#This Row],[Commercial Bid Price per case for NOI ($)]]+Table1567123[[#This Row],[Region 1: Fixed Fee Per Case ($)]])/Table1567123[[#This Row],['# of CN Servings per case]]</f>
        <v>#DIV/0!</v>
      </c>
      <c r="T46" s="118" t="e">
        <f>Table1567123[[#This Row],[Total Cost Per Serving (N+O)/I]]*Table1567123[[#This Row],[Estimated Servings Annual]]</f>
        <v>#DIV/0!</v>
      </c>
      <c r="U46" s="105">
        <f>(Table1567123[[#This Row],[Commercial Bid Price per case for NOI ($)]]-Table1567123[[#This Row],[Pass-Thru Value per case ($)]])+Table1567123[[#This Row],[Region 2: Fixed Fee Per Case ($)]]</f>
        <v>0</v>
      </c>
      <c r="V46" s="24" t="e">
        <f>(Table1567123[[#This Row],[Commercial Bid Price per case for NOI ($)]]+Table1567123[[#This Row],[Region 2: Fixed Fee Per Case ($)]])/Table1567123[[#This Row],['# of CN Servings per case]]</f>
        <v>#DIV/0!</v>
      </c>
      <c r="W46" s="20" t="e">
        <f>Table1567123[[#This Row],[Total Cost Per Serving (N+P)/I]]*Table1567123[[#This Row],[Estimated Servings Annual]]</f>
        <v>#DIV/0!</v>
      </c>
    </row>
    <row r="47" spans="1:23" x14ac:dyDescent="0.25">
      <c r="A47" s="45" t="s">
        <v>131</v>
      </c>
      <c r="B47" s="43" t="s">
        <v>139</v>
      </c>
      <c r="C47" s="7" t="s">
        <v>13</v>
      </c>
      <c r="D47" s="7"/>
      <c r="E47" s="7"/>
      <c r="F47" s="7"/>
      <c r="G47" s="7"/>
      <c r="H47" s="7"/>
      <c r="I47" s="7"/>
      <c r="J47" s="93">
        <v>1600000</v>
      </c>
      <c r="K47" s="7"/>
      <c r="L47" s="7"/>
      <c r="M47" s="7"/>
      <c r="N47" s="7"/>
      <c r="O47" s="7"/>
      <c r="P47" s="7"/>
      <c r="Q47" s="110"/>
      <c r="R47" s="105">
        <f>(Table1567123[[#This Row],[Commercial Bid Price per case for NOI ($)]]-Table1567123[[#This Row],[Pass-Thru Value per case ($)]])+Table1567123[[#This Row],[Region 1: Fixed Fee Per Case ($)]]</f>
        <v>0</v>
      </c>
      <c r="S47" s="18" t="e">
        <f>(Table1567123[[#This Row],[Commercial Bid Price per case for NOI ($)]]+Table1567123[[#This Row],[Region 1: Fixed Fee Per Case ($)]])/Table1567123[[#This Row],['# of CN Servings per case]]</f>
        <v>#DIV/0!</v>
      </c>
      <c r="T47" s="118" t="e">
        <f>Table1567123[[#This Row],[Total Cost Per Serving (N+O)/I]]*Table1567123[[#This Row],[Estimated Servings Annual]]</f>
        <v>#DIV/0!</v>
      </c>
      <c r="U47" s="105">
        <f>(Table1567123[[#This Row],[Commercial Bid Price per case for NOI ($)]]-Table1567123[[#This Row],[Pass-Thru Value per case ($)]])+Table1567123[[#This Row],[Region 2: Fixed Fee Per Case ($)]]</f>
        <v>0</v>
      </c>
      <c r="V47" s="24" t="e">
        <f>(Table1567123[[#This Row],[Commercial Bid Price per case for NOI ($)]]+Table1567123[[#This Row],[Region 2: Fixed Fee Per Case ($)]])/Table1567123[[#This Row],['# of CN Servings per case]]</f>
        <v>#DIV/0!</v>
      </c>
      <c r="W47" s="20" t="e">
        <f>Table1567123[[#This Row],[Total Cost Per Serving (N+P)/I]]*Table1567123[[#This Row],[Estimated Servings Annual]]</f>
        <v>#DIV/0!</v>
      </c>
    </row>
    <row r="48" spans="1:23" x14ac:dyDescent="0.25">
      <c r="A48" s="45" t="s">
        <v>131</v>
      </c>
      <c r="B48" s="43" t="s">
        <v>139</v>
      </c>
      <c r="C48" s="7" t="s">
        <v>13</v>
      </c>
      <c r="D48" s="7"/>
      <c r="E48" s="7"/>
      <c r="F48" s="7"/>
      <c r="G48" s="7"/>
      <c r="H48" s="7"/>
      <c r="I48" s="7"/>
      <c r="J48" s="93">
        <v>1600000</v>
      </c>
      <c r="K48" s="7"/>
      <c r="L48" s="7"/>
      <c r="M48" s="7"/>
      <c r="N48" s="7"/>
      <c r="O48" s="7"/>
      <c r="P48" s="7"/>
      <c r="Q48" s="110"/>
      <c r="R48" s="105">
        <f>(Table1567123[[#This Row],[Commercial Bid Price per case for NOI ($)]]-Table1567123[[#This Row],[Pass-Thru Value per case ($)]])+Table1567123[[#This Row],[Region 1: Fixed Fee Per Case ($)]]</f>
        <v>0</v>
      </c>
      <c r="S48" s="18" t="e">
        <f>(Table1567123[[#This Row],[Commercial Bid Price per case for NOI ($)]]+Table1567123[[#This Row],[Region 1: Fixed Fee Per Case ($)]])/Table1567123[[#This Row],['# of CN Servings per case]]</f>
        <v>#DIV/0!</v>
      </c>
      <c r="T48" s="118" t="e">
        <f>Table1567123[[#This Row],[Total Cost Per Serving (N+O)/I]]*Table1567123[[#This Row],[Estimated Servings Annual]]</f>
        <v>#DIV/0!</v>
      </c>
      <c r="U48" s="105">
        <f>(Table1567123[[#This Row],[Commercial Bid Price per case for NOI ($)]]-Table1567123[[#This Row],[Pass-Thru Value per case ($)]])+Table1567123[[#This Row],[Region 2: Fixed Fee Per Case ($)]]</f>
        <v>0</v>
      </c>
      <c r="V48" s="24" t="e">
        <f>(Table1567123[[#This Row],[Commercial Bid Price per case for NOI ($)]]+Table1567123[[#This Row],[Region 2: Fixed Fee Per Case ($)]])/Table1567123[[#This Row],['# of CN Servings per case]]</f>
        <v>#DIV/0!</v>
      </c>
      <c r="W48" s="20" t="e">
        <f>Table1567123[[#This Row],[Total Cost Per Serving (N+P)/I]]*Table1567123[[#This Row],[Estimated Servings Annual]]</f>
        <v>#DIV/0!</v>
      </c>
    </row>
    <row r="49" spans="1:23" x14ac:dyDescent="0.25">
      <c r="A49" s="45" t="s">
        <v>131</v>
      </c>
      <c r="B49" s="43" t="s">
        <v>139</v>
      </c>
      <c r="C49" s="7" t="s">
        <v>13</v>
      </c>
      <c r="D49" s="7"/>
      <c r="E49" s="7"/>
      <c r="F49" s="7"/>
      <c r="G49" s="7"/>
      <c r="H49" s="7"/>
      <c r="I49" s="7"/>
      <c r="J49" s="93">
        <v>1600000</v>
      </c>
      <c r="K49" s="7"/>
      <c r="L49" s="7"/>
      <c r="M49" s="7"/>
      <c r="N49" s="7"/>
      <c r="O49" s="7"/>
      <c r="P49" s="7"/>
      <c r="Q49" s="110"/>
      <c r="R49" s="105">
        <f>(Table1567123[[#This Row],[Commercial Bid Price per case for NOI ($)]]-Table1567123[[#This Row],[Pass-Thru Value per case ($)]])+Table1567123[[#This Row],[Region 1: Fixed Fee Per Case ($)]]</f>
        <v>0</v>
      </c>
      <c r="S49" s="18" t="e">
        <f>(Table1567123[[#This Row],[Commercial Bid Price per case for NOI ($)]]+Table1567123[[#This Row],[Region 1: Fixed Fee Per Case ($)]])/Table1567123[[#This Row],['# of CN Servings per case]]</f>
        <v>#DIV/0!</v>
      </c>
      <c r="T49" s="118" t="e">
        <f>Table1567123[[#This Row],[Total Cost Per Serving (N+O)/I]]*Table1567123[[#This Row],[Estimated Servings Annual]]</f>
        <v>#DIV/0!</v>
      </c>
      <c r="U49" s="105">
        <f>(Table1567123[[#This Row],[Commercial Bid Price per case for NOI ($)]]-Table1567123[[#This Row],[Pass-Thru Value per case ($)]])+Table1567123[[#This Row],[Region 2: Fixed Fee Per Case ($)]]</f>
        <v>0</v>
      </c>
      <c r="V49" s="24" t="e">
        <f>(Table1567123[[#This Row],[Commercial Bid Price per case for NOI ($)]]+Table1567123[[#This Row],[Region 2: Fixed Fee Per Case ($)]])/Table1567123[[#This Row],['# of CN Servings per case]]</f>
        <v>#DIV/0!</v>
      </c>
      <c r="W49" s="20" t="e">
        <f>Table1567123[[#This Row],[Total Cost Per Serving (N+P)/I]]*Table1567123[[#This Row],[Estimated Servings Annual]]</f>
        <v>#DIV/0!</v>
      </c>
    </row>
    <row r="50" spans="1:23" ht="15.75" thickBot="1" x14ac:dyDescent="0.3">
      <c r="A50" s="45" t="s">
        <v>131</v>
      </c>
      <c r="B50" s="44" t="s">
        <v>139</v>
      </c>
      <c r="C50" s="9" t="s">
        <v>13</v>
      </c>
      <c r="D50" s="9"/>
      <c r="E50" s="9"/>
      <c r="F50" s="9"/>
      <c r="G50" s="9"/>
      <c r="H50" s="9"/>
      <c r="I50" s="9"/>
      <c r="J50" s="94">
        <v>1600000</v>
      </c>
      <c r="K50" s="9"/>
      <c r="L50" s="9"/>
      <c r="M50" s="9"/>
      <c r="N50" s="9"/>
      <c r="O50" s="9"/>
      <c r="P50" s="9"/>
      <c r="Q50" s="111"/>
      <c r="R50" s="106">
        <f>(Table1567123[[#This Row],[Commercial Bid Price per case for NOI ($)]]-Table1567123[[#This Row],[Pass-Thru Value per case ($)]])+Table1567123[[#This Row],[Region 1: Fixed Fee Per Case ($)]]</f>
        <v>0</v>
      </c>
      <c r="S50" s="21" t="e">
        <f>(Table1567123[[#This Row],[Commercial Bid Price per case for NOI ($)]]+Table1567123[[#This Row],[Region 1: Fixed Fee Per Case ($)]])/Table1567123[[#This Row],['# of CN Servings per case]]</f>
        <v>#DIV/0!</v>
      </c>
      <c r="T50" s="120" t="e">
        <f>Table1567123[[#This Row],[Total Cost Per Serving (N+O)/I]]*Table1567123[[#This Row],[Estimated Servings Annual]]</f>
        <v>#DIV/0!</v>
      </c>
      <c r="U50" s="106">
        <f>(Table1567123[[#This Row],[Commercial Bid Price per case for NOI ($)]]-Table1567123[[#This Row],[Pass-Thru Value per case ($)]])+Table1567123[[#This Row],[Region 2: Fixed Fee Per Case ($)]]</f>
        <v>0</v>
      </c>
      <c r="V50" s="25" t="e">
        <f>(Table1567123[[#This Row],[Commercial Bid Price per case for NOI ($)]]+Table1567123[[#This Row],[Region 2: Fixed Fee Per Case ($)]])/Table1567123[[#This Row],['# of CN Servings per case]]</f>
        <v>#DIV/0!</v>
      </c>
      <c r="W50" s="23" t="e">
        <f>Table1567123[[#This Row],[Total Cost Per Serving (N+P)/I]]*Table1567123[[#This Row],[Estimated Servings Annual]]</f>
        <v>#DIV/0!</v>
      </c>
    </row>
    <row r="51" spans="1:23" x14ac:dyDescent="0.25">
      <c r="A51" s="45" t="s">
        <v>131</v>
      </c>
      <c r="B51" s="42" t="s">
        <v>140</v>
      </c>
      <c r="C51" s="60" t="s">
        <v>136</v>
      </c>
      <c r="D51" s="4"/>
      <c r="E51" s="4"/>
      <c r="F51" s="4"/>
      <c r="G51" s="4"/>
      <c r="H51" s="4"/>
      <c r="I51" s="4"/>
      <c r="J51" s="92">
        <v>600000</v>
      </c>
      <c r="K51" s="4"/>
      <c r="L51" s="4"/>
      <c r="M51" s="4"/>
      <c r="N51" s="4"/>
      <c r="O51" s="4"/>
      <c r="P51" s="4"/>
      <c r="Q51" s="109"/>
      <c r="R51" s="104">
        <f>(Table1567123[[#This Row],[Commercial Bid Price per case for NOI ($)]]-Table1567123[[#This Row],[Pass-Thru Value per case ($)]])+Table1567123[[#This Row],[Region 1: Fixed Fee Per Case ($)]]</f>
        <v>0</v>
      </c>
      <c r="S51" s="15" t="e">
        <f>(Table1567123[[#This Row],[Commercial Bid Price per case for NOI ($)]]+Table1567123[[#This Row],[Region 1: Fixed Fee Per Case ($)]])/Table1567123[[#This Row],['# of CN Servings per case]]</f>
        <v>#DIV/0!</v>
      </c>
      <c r="T51" s="115" t="e">
        <f>Table1567123[[#This Row],[Total Cost Per Serving (N+O)/I]]*Table1567123[[#This Row],[Estimated Servings Annual]]</f>
        <v>#DIV/0!</v>
      </c>
      <c r="U51" s="104">
        <f>(Table1567123[[#This Row],[Commercial Bid Price per case for NOI ($)]]-Table1567123[[#This Row],[Pass-Thru Value per case ($)]])+Table1567123[[#This Row],[Region 2: Fixed Fee Per Case ($)]]</f>
        <v>0</v>
      </c>
      <c r="V51" s="31" t="e">
        <f>(Table1567123[[#This Row],[Commercial Bid Price per case for NOI ($)]]+Table1567123[[#This Row],[Region 2: Fixed Fee Per Case ($)]])/Table1567123[[#This Row],['# of CN Servings per case]]</f>
        <v>#DIV/0!</v>
      </c>
      <c r="W51" s="17" t="e">
        <f>Table1567123[[#This Row],[Total Cost Per Serving (N+P)/I]]*Table1567123[[#This Row],[Estimated Servings Annual]]</f>
        <v>#DIV/0!</v>
      </c>
    </row>
    <row r="52" spans="1:23" x14ac:dyDescent="0.25">
      <c r="A52" s="45" t="s">
        <v>131</v>
      </c>
      <c r="B52" s="43" t="s">
        <v>140</v>
      </c>
      <c r="C52" s="59" t="s">
        <v>136</v>
      </c>
      <c r="D52" s="7"/>
      <c r="E52" s="7"/>
      <c r="F52" s="7"/>
      <c r="G52" s="7"/>
      <c r="H52" s="7"/>
      <c r="I52" s="7"/>
      <c r="J52" s="93">
        <v>600000</v>
      </c>
      <c r="K52" s="7"/>
      <c r="L52" s="7"/>
      <c r="M52" s="7"/>
      <c r="N52" s="7"/>
      <c r="O52" s="7"/>
      <c r="P52" s="7"/>
      <c r="Q52" s="110"/>
      <c r="R52" s="105">
        <f>(Table1567123[[#This Row],[Commercial Bid Price per case for NOI ($)]]-Table1567123[[#This Row],[Pass-Thru Value per case ($)]])+Table1567123[[#This Row],[Region 1: Fixed Fee Per Case ($)]]</f>
        <v>0</v>
      </c>
      <c r="S52" s="18" t="e">
        <f>(Table1567123[[#This Row],[Commercial Bid Price per case for NOI ($)]]+Table1567123[[#This Row],[Region 1: Fixed Fee Per Case ($)]])/Table1567123[[#This Row],['# of CN Servings per case]]</f>
        <v>#DIV/0!</v>
      </c>
      <c r="T52" s="118" t="e">
        <f>Table1567123[[#This Row],[Total Cost Per Serving (N+O)/I]]*Table1567123[[#This Row],[Estimated Servings Annual]]</f>
        <v>#DIV/0!</v>
      </c>
      <c r="U52" s="105">
        <f>(Table1567123[[#This Row],[Commercial Bid Price per case for NOI ($)]]-Table1567123[[#This Row],[Pass-Thru Value per case ($)]])+Table1567123[[#This Row],[Region 2: Fixed Fee Per Case ($)]]</f>
        <v>0</v>
      </c>
      <c r="V52" s="24" t="e">
        <f>(Table1567123[[#This Row],[Commercial Bid Price per case for NOI ($)]]+Table1567123[[#This Row],[Region 2: Fixed Fee Per Case ($)]])/Table1567123[[#This Row],['# of CN Servings per case]]</f>
        <v>#DIV/0!</v>
      </c>
      <c r="W52" s="20" t="e">
        <f>Table1567123[[#This Row],[Total Cost Per Serving (N+P)/I]]*Table1567123[[#This Row],[Estimated Servings Annual]]</f>
        <v>#DIV/0!</v>
      </c>
    </row>
    <row r="53" spans="1:23" x14ac:dyDescent="0.25">
      <c r="A53" s="45" t="s">
        <v>131</v>
      </c>
      <c r="B53" s="43" t="s">
        <v>140</v>
      </c>
      <c r="C53" s="59" t="s">
        <v>135</v>
      </c>
      <c r="D53" s="7"/>
      <c r="E53" s="7"/>
      <c r="F53" s="7"/>
      <c r="G53" s="7"/>
      <c r="H53" s="7"/>
      <c r="I53" s="7"/>
      <c r="J53" s="93">
        <v>600000</v>
      </c>
      <c r="K53" s="7"/>
      <c r="L53" s="7"/>
      <c r="M53" s="7"/>
      <c r="N53" s="7"/>
      <c r="O53" s="7"/>
      <c r="P53" s="7"/>
      <c r="Q53" s="110"/>
      <c r="R53" s="105">
        <f>(Table1567123[[#This Row],[Commercial Bid Price per case for NOI ($)]]-Table1567123[[#This Row],[Pass-Thru Value per case ($)]])+Table1567123[[#This Row],[Region 1: Fixed Fee Per Case ($)]]</f>
        <v>0</v>
      </c>
      <c r="S53" s="18" t="e">
        <f>(Table1567123[[#This Row],[Commercial Bid Price per case for NOI ($)]]+Table1567123[[#This Row],[Region 1: Fixed Fee Per Case ($)]])/Table1567123[[#This Row],['# of CN Servings per case]]</f>
        <v>#DIV/0!</v>
      </c>
      <c r="T53" s="118" t="e">
        <f>Table1567123[[#This Row],[Total Cost Per Serving (N+O)/I]]*Table1567123[[#This Row],[Estimated Servings Annual]]</f>
        <v>#DIV/0!</v>
      </c>
      <c r="U53" s="105">
        <f>(Table1567123[[#This Row],[Commercial Bid Price per case for NOI ($)]]-Table1567123[[#This Row],[Pass-Thru Value per case ($)]])+Table1567123[[#This Row],[Region 2: Fixed Fee Per Case ($)]]</f>
        <v>0</v>
      </c>
      <c r="V53" s="24" t="e">
        <f>(Table1567123[[#This Row],[Commercial Bid Price per case for NOI ($)]]+Table1567123[[#This Row],[Region 2: Fixed Fee Per Case ($)]])/Table1567123[[#This Row],['# of CN Servings per case]]</f>
        <v>#DIV/0!</v>
      </c>
      <c r="W53" s="20" t="e">
        <f>Table1567123[[#This Row],[Total Cost Per Serving (N+P)/I]]*Table1567123[[#This Row],[Estimated Servings Annual]]</f>
        <v>#DIV/0!</v>
      </c>
    </row>
    <row r="54" spans="1:23" x14ac:dyDescent="0.25">
      <c r="A54" s="45" t="s">
        <v>131</v>
      </c>
      <c r="B54" s="43" t="s">
        <v>140</v>
      </c>
      <c r="C54" s="59" t="s">
        <v>135</v>
      </c>
      <c r="D54" s="7"/>
      <c r="E54" s="7"/>
      <c r="F54" s="7"/>
      <c r="G54" s="7"/>
      <c r="H54" s="7"/>
      <c r="I54" s="7"/>
      <c r="J54" s="93">
        <v>600000</v>
      </c>
      <c r="K54" s="7"/>
      <c r="L54" s="7"/>
      <c r="M54" s="7"/>
      <c r="N54" s="7"/>
      <c r="O54" s="7"/>
      <c r="P54" s="7"/>
      <c r="Q54" s="110"/>
      <c r="R54" s="105">
        <f>(Table1567123[[#This Row],[Commercial Bid Price per case for NOI ($)]]-Table1567123[[#This Row],[Pass-Thru Value per case ($)]])+Table1567123[[#This Row],[Region 1: Fixed Fee Per Case ($)]]</f>
        <v>0</v>
      </c>
      <c r="S54" s="18" t="e">
        <f>(Table1567123[[#This Row],[Commercial Bid Price per case for NOI ($)]]+Table1567123[[#This Row],[Region 1: Fixed Fee Per Case ($)]])/Table1567123[[#This Row],['# of CN Servings per case]]</f>
        <v>#DIV/0!</v>
      </c>
      <c r="T54" s="118" t="e">
        <f>Table1567123[[#This Row],[Total Cost Per Serving (N+O)/I]]*Table1567123[[#This Row],[Estimated Servings Annual]]</f>
        <v>#DIV/0!</v>
      </c>
      <c r="U54" s="105">
        <f>(Table1567123[[#This Row],[Commercial Bid Price per case for NOI ($)]]-Table1567123[[#This Row],[Pass-Thru Value per case ($)]])+Table1567123[[#This Row],[Region 2: Fixed Fee Per Case ($)]]</f>
        <v>0</v>
      </c>
      <c r="V54" s="24" t="e">
        <f>(Table1567123[[#This Row],[Commercial Bid Price per case for NOI ($)]]+Table1567123[[#This Row],[Region 2: Fixed Fee Per Case ($)]])/Table1567123[[#This Row],['# of CN Servings per case]]</f>
        <v>#DIV/0!</v>
      </c>
      <c r="W54" s="20" t="e">
        <f>Table1567123[[#This Row],[Total Cost Per Serving (N+P)/I]]*Table1567123[[#This Row],[Estimated Servings Annual]]</f>
        <v>#DIV/0!</v>
      </c>
    </row>
    <row r="55" spans="1:23" x14ac:dyDescent="0.25">
      <c r="A55" s="45" t="s">
        <v>131</v>
      </c>
      <c r="B55" s="43" t="s">
        <v>140</v>
      </c>
      <c r="C55" s="59" t="s">
        <v>134</v>
      </c>
      <c r="D55" s="7"/>
      <c r="E55" s="7"/>
      <c r="F55" s="7"/>
      <c r="G55" s="7"/>
      <c r="H55" s="7"/>
      <c r="I55" s="7"/>
      <c r="J55" s="93">
        <v>600000</v>
      </c>
      <c r="K55" s="7"/>
      <c r="L55" s="7"/>
      <c r="M55" s="7"/>
      <c r="N55" s="7"/>
      <c r="O55" s="7"/>
      <c r="P55" s="7"/>
      <c r="Q55" s="110"/>
      <c r="R55" s="105">
        <f>(Table1567123[[#This Row],[Commercial Bid Price per case for NOI ($)]]-Table1567123[[#This Row],[Pass-Thru Value per case ($)]])+Table1567123[[#This Row],[Region 1: Fixed Fee Per Case ($)]]</f>
        <v>0</v>
      </c>
      <c r="S55" s="18" t="e">
        <f>(Table1567123[[#This Row],[Commercial Bid Price per case for NOI ($)]]+Table1567123[[#This Row],[Region 1: Fixed Fee Per Case ($)]])/Table1567123[[#This Row],['# of CN Servings per case]]</f>
        <v>#DIV/0!</v>
      </c>
      <c r="T55" s="118" t="e">
        <f>Table1567123[[#This Row],[Total Cost Per Serving (N+O)/I]]*Table1567123[[#This Row],[Estimated Servings Annual]]</f>
        <v>#DIV/0!</v>
      </c>
      <c r="U55" s="105">
        <f>(Table1567123[[#This Row],[Commercial Bid Price per case for NOI ($)]]-Table1567123[[#This Row],[Pass-Thru Value per case ($)]])+Table1567123[[#This Row],[Region 2: Fixed Fee Per Case ($)]]</f>
        <v>0</v>
      </c>
      <c r="V55" s="24" t="e">
        <f>(Table1567123[[#This Row],[Commercial Bid Price per case for NOI ($)]]+Table1567123[[#This Row],[Region 2: Fixed Fee Per Case ($)]])/Table1567123[[#This Row],['# of CN Servings per case]]</f>
        <v>#DIV/0!</v>
      </c>
      <c r="W55" s="20" t="e">
        <f>Table1567123[[#This Row],[Total Cost Per Serving (N+P)/I]]*Table1567123[[#This Row],[Estimated Servings Annual]]</f>
        <v>#DIV/0!</v>
      </c>
    </row>
    <row r="56" spans="1:23" x14ac:dyDescent="0.25">
      <c r="A56" s="45" t="s">
        <v>131</v>
      </c>
      <c r="B56" s="43" t="s">
        <v>140</v>
      </c>
      <c r="C56" s="59" t="s">
        <v>134</v>
      </c>
      <c r="D56" s="7"/>
      <c r="E56" s="7"/>
      <c r="F56" s="7"/>
      <c r="G56" s="7"/>
      <c r="H56" s="7"/>
      <c r="I56" s="7"/>
      <c r="J56" s="93">
        <v>600000</v>
      </c>
      <c r="K56" s="7"/>
      <c r="L56" s="7"/>
      <c r="M56" s="7"/>
      <c r="N56" s="7"/>
      <c r="O56" s="7"/>
      <c r="P56" s="7"/>
      <c r="Q56" s="110"/>
      <c r="R56" s="105">
        <f>(Table1567123[[#This Row],[Commercial Bid Price per case for NOI ($)]]-Table1567123[[#This Row],[Pass-Thru Value per case ($)]])+Table1567123[[#This Row],[Region 1: Fixed Fee Per Case ($)]]</f>
        <v>0</v>
      </c>
      <c r="S56" s="18" t="e">
        <f>(Table1567123[[#This Row],[Commercial Bid Price per case for NOI ($)]]+Table1567123[[#This Row],[Region 1: Fixed Fee Per Case ($)]])/Table1567123[[#This Row],['# of CN Servings per case]]</f>
        <v>#DIV/0!</v>
      </c>
      <c r="T56" s="118" t="e">
        <f>Table1567123[[#This Row],[Total Cost Per Serving (N+O)/I]]*Table1567123[[#This Row],[Estimated Servings Annual]]</f>
        <v>#DIV/0!</v>
      </c>
      <c r="U56" s="105">
        <f>(Table1567123[[#This Row],[Commercial Bid Price per case for NOI ($)]]-Table1567123[[#This Row],[Pass-Thru Value per case ($)]])+Table1567123[[#This Row],[Region 2: Fixed Fee Per Case ($)]]</f>
        <v>0</v>
      </c>
      <c r="V56" s="24" t="e">
        <f>(Table1567123[[#This Row],[Commercial Bid Price per case for NOI ($)]]+Table1567123[[#This Row],[Region 2: Fixed Fee Per Case ($)]])/Table1567123[[#This Row],['# of CN Servings per case]]</f>
        <v>#DIV/0!</v>
      </c>
      <c r="W56" s="20" t="e">
        <f>Table1567123[[#This Row],[Total Cost Per Serving (N+P)/I]]*Table1567123[[#This Row],[Estimated Servings Annual]]</f>
        <v>#DIV/0!</v>
      </c>
    </row>
    <row r="57" spans="1:23" x14ac:dyDescent="0.25">
      <c r="A57" s="45" t="s">
        <v>131</v>
      </c>
      <c r="B57" s="43" t="s">
        <v>140</v>
      </c>
      <c r="C57" s="7" t="s">
        <v>13</v>
      </c>
      <c r="D57" s="7"/>
      <c r="E57" s="7"/>
      <c r="F57" s="7"/>
      <c r="G57" s="7"/>
      <c r="H57" s="7"/>
      <c r="I57" s="7"/>
      <c r="J57" s="93">
        <v>600000</v>
      </c>
      <c r="K57" s="7"/>
      <c r="L57" s="7"/>
      <c r="M57" s="7"/>
      <c r="N57" s="7"/>
      <c r="O57" s="7"/>
      <c r="P57" s="7"/>
      <c r="Q57" s="110"/>
      <c r="R57" s="105">
        <f>(Table1567123[[#This Row],[Commercial Bid Price per case for NOI ($)]]-Table1567123[[#This Row],[Pass-Thru Value per case ($)]])+Table1567123[[#This Row],[Region 1: Fixed Fee Per Case ($)]]</f>
        <v>0</v>
      </c>
      <c r="S57" s="18" t="e">
        <f>(Table1567123[[#This Row],[Commercial Bid Price per case for NOI ($)]]+Table1567123[[#This Row],[Region 1: Fixed Fee Per Case ($)]])/Table1567123[[#This Row],['# of CN Servings per case]]</f>
        <v>#DIV/0!</v>
      </c>
      <c r="T57" s="118" t="e">
        <f>Table1567123[[#This Row],[Total Cost Per Serving (N+O)/I]]*Table1567123[[#This Row],[Estimated Servings Annual]]</f>
        <v>#DIV/0!</v>
      </c>
      <c r="U57" s="105">
        <f>(Table1567123[[#This Row],[Commercial Bid Price per case for NOI ($)]]-Table1567123[[#This Row],[Pass-Thru Value per case ($)]])+Table1567123[[#This Row],[Region 2: Fixed Fee Per Case ($)]]</f>
        <v>0</v>
      </c>
      <c r="V57" s="24" t="e">
        <f>(Table1567123[[#This Row],[Commercial Bid Price per case for NOI ($)]]+Table1567123[[#This Row],[Region 2: Fixed Fee Per Case ($)]])/Table1567123[[#This Row],['# of CN Servings per case]]</f>
        <v>#DIV/0!</v>
      </c>
      <c r="W57" s="20" t="e">
        <f>Table1567123[[#This Row],[Total Cost Per Serving (N+P)/I]]*Table1567123[[#This Row],[Estimated Servings Annual]]</f>
        <v>#DIV/0!</v>
      </c>
    </row>
    <row r="58" spans="1:23" x14ac:dyDescent="0.25">
      <c r="A58" s="45" t="s">
        <v>131</v>
      </c>
      <c r="B58" s="43" t="s">
        <v>140</v>
      </c>
      <c r="C58" s="7" t="s">
        <v>13</v>
      </c>
      <c r="D58" s="7"/>
      <c r="E58" s="7"/>
      <c r="F58" s="7"/>
      <c r="G58" s="7"/>
      <c r="H58" s="7"/>
      <c r="I58" s="7"/>
      <c r="J58" s="93">
        <v>600000</v>
      </c>
      <c r="K58" s="7"/>
      <c r="L58" s="7"/>
      <c r="M58" s="7"/>
      <c r="N58" s="7"/>
      <c r="O58" s="7"/>
      <c r="P58" s="7"/>
      <c r="Q58" s="110"/>
      <c r="R58" s="105">
        <f>(Table1567123[[#This Row],[Commercial Bid Price per case for NOI ($)]]-Table1567123[[#This Row],[Pass-Thru Value per case ($)]])+Table1567123[[#This Row],[Region 1: Fixed Fee Per Case ($)]]</f>
        <v>0</v>
      </c>
      <c r="S58" s="18" t="e">
        <f>(Table1567123[[#This Row],[Commercial Bid Price per case for NOI ($)]]+Table1567123[[#This Row],[Region 1: Fixed Fee Per Case ($)]])/Table1567123[[#This Row],['# of CN Servings per case]]</f>
        <v>#DIV/0!</v>
      </c>
      <c r="T58" s="118" t="e">
        <f>Table1567123[[#This Row],[Total Cost Per Serving (N+O)/I]]*Table1567123[[#This Row],[Estimated Servings Annual]]</f>
        <v>#DIV/0!</v>
      </c>
      <c r="U58" s="105">
        <f>(Table1567123[[#This Row],[Commercial Bid Price per case for NOI ($)]]-Table1567123[[#This Row],[Pass-Thru Value per case ($)]])+Table1567123[[#This Row],[Region 2: Fixed Fee Per Case ($)]]</f>
        <v>0</v>
      </c>
      <c r="V58" s="24" t="e">
        <f>(Table1567123[[#This Row],[Commercial Bid Price per case for NOI ($)]]+Table1567123[[#This Row],[Region 2: Fixed Fee Per Case ($)]])/Table1567123[[#This Row],['# of CN Servings per case]]</f>
        <v>#DIV/0!</v>
      </c>
      <c r="W58" s="20" t="e">
        <f>Table1567123[[#This Row],[Total Cost Per Serving (N+P)/I]]*Table1567123[[#This Row],[Estimated Servings Annual]]</f>
        <v>#DIV/0!</v>
      </c>
    </row>
    <row r="59" spans="1:23" x14ac:dyDescent="0.25">
      <c r="A59" s="45" t="s">
        <v>131</v>
      </c>
      <c r="B59" s="43" t="s">
        <v>140</v>
      </c>
      <c r="C59" s="7" t="s">
        <v>13</v>
      </c>
      <c r="D59" s="7"/>
      <c r="E59" s="7"/>
      <c r="F59" s="7"/>
      <c r="G59" s="7"/>
      <c r="H59" s="7"/>
      <c r="I59" s="7"/>
      <c r="J59" s="93">
        <v>600000</v>
      </c>
      <c r="K59" s="7"/>
      <c r="L59" s="7"/>
      <c r="M59" s="7"/>
      <c r="N59" s="7"/>
      <c r="O59" s="7"/>
      <c r="P59" s="7"/>
      <c r="Q59" s="110"/>
      <c r="R59" s="105">
        <f>(Table1567123[[#This Row],[Commercial Bid Price per case for NOI ($)]]-Table1567123[[#This Row],[Pass-Thru Value per case ($)]])+Table1567123[[#This Row],[Region 1: Fixed Fee Per Case ($)]]</f>
        <v>0</v>
      </c>
      <c r="S59" s="18" t="e">
        <f>(Table1567123[[#This Row],[Commercial Bid Price per case for NOI ($)]]+Table1567123[[#This Row],[Region 1: Fixed Fee Per Case ($)]])/Table1567123[[#This Row],['# of CN Servings per case]]</f>
        <v>#DIV/0!</v>
      </c>
      <c r="T59" s="118" t="e">
        <f>Table1567123[[#This Row],[Total Cost Per Serving (N+O)/I]]*Table1567123[[#This Row],[Estimated Servings Annual]]</f>
        <v>#DIV/0!</v>
      </c>
      <c r="U59" s="105">
        <f>(Table1567123[[#This Row],[Commercial Bid Price per case for NOI ($)]]-Table1567123[[#This Row],[Pass-Thru Value per case ($)]])+Table1567123[[#This Row],[Region 2: Fixed Fee Per Case ($)]]</f>
        <v>0</v>
      </c>
      <c r="V59" s="24" t="e">
        <f>(Table1567123[[#This Row],[Commercial Bid Price per case for NOI ($)]]+Table1567123[[#This Row],[Region 2: Fixed Fee Per Case ($)]])/Table1567123[[#This Row],['# of CN Servings per case]]</f>
        <v>#DIV/0!</v>
      </c>
      <c r="W59" s="20" t="e">
        <f>Table1567123[[#This Row],[Total Cost Per Serving (N+P)/I]]*Table1567123[[#This Row],[Estimated Servings Annual]]</f>
        <v>#DIV/0!</v>
      </c>
    </row>
    <row r="60" spans="1:23" ht="15.75" thickBot="1" x14ac:dyDescent="0.3">
      <c r="A60" s="45" t="s">
        <v>131</v>
      </c>
      <c r="B60" s="44" t="s">
        <v>140</v>
      </c>
      <c r="C60" s="9" t="s">
        <v>13</v>
      </c>
      <c r="D60" s="9"/>
      <c r="E60" s="9"/>
      <c r="F60" s="9"/>
      <c r="G60" s="9"/>
      <c r="H60" s="9"/>
      <c r="I60" s="9"/>
      <c r="J60" s="94">
        <v>600000</v>
      </c>
      <c r="K60" s="9"/>
      <c r="L60" s="9"/>
      <c r="M60" s="9"/>
      <c r="N60" s="9"/>
      <c r="O60" s="9"/>
      <c r="P60" s="9"/>
      <c r="Q60" s="111"/>
      <c r="R60" s="106">
        <f>(Table1567123[[#This Row],[Commercial Bid Price per case for NOI ($)]]-Table1567123[[#This Row],[Pass-Thru Value per case ($)]])+Table1567123[[#This Row],[Region 1: Fixed Fee Per Case ($)]]</f>
        <v>0</v>
      </c>
      <c r="S60" s="21" t="e">
        <f>(Table1567123[[#This Row],[Commercial Bid Price per case for NOI ($)]]+Table1567123[[#This Row],[Region 1: Fixed Fee Per Case ($)]])/Table1567123[[#This Row],['# of CN Servings per case]]</f>
        <v>#DIV/0!</v>
      </c>
      <c r="T60" s="120" t="e">
        <f>Table1567123[[#This Row],[Total Cost Per Serving (N+O)/I]]*Table1567123[[#This Row],[Estimated Servings Annual]]</f>
        <v>#DIV/0!</v>
      </c>
      <c r="U60" s="106">
        <f>(Table1567123[[#This Row],[Commercial Bid Price per case for NOI ($)]]-Table1567123[[#This Row],[Pass-Thru Value per case ($)]])+Table1567123[[#This Row],[Region 2: Fixed Fee Per Case ($)]]</f>
        <v>0</v>
      </c>
      <c r="V60" s="25" t="e">
        <f>(Table1567123[[#This Row],[Commercial Bid Price per case for NOI ($)]]+Table1567123[[#This Row],[Region 2: Fixed Fee Per Case ($)]])/Table1567123[[#This Row],['# of CN Servings per case]]</f>
        <v>#DIV/0!</v>
      </c>
      <c r="W60" s="23" t="e">
        <f>Table1567123[[#This Row],[Total Cost Per Serving (N+P)/I]]*Table1567123[[#This Row],[Estimated Servings Annual]]</f>
        <v>#DIV/0!</v>
      </c>
    </row>
    <row r="61" spans="1:23" x14ac:dyDescent="0.25">
      <c r="A61" s="45" t="s">
        <v>131</v>
      </c>
      <c r="B61" s="42" t="s">
        <v>141</v>
      </c>
      <c r="C61" s="60" t="s">
        <v>136</v>
      </c>
      <c r="D61" s="4"/>
      <c r="E61" s="4"/>
      <c r="F61" s="4"/>
      <c r="G61" s="4"/>
      <c r="H61" s="4"/>
      <c r="I61" s="4"/>
      <c r="J61" s="92">
        <v>800000</v>
      </c>
      <c r="K61" s="4"/>
      <c r="L61" s="4"/>
      <c r="M61" s="4"/>
      <c r="N61" s="4"/>
      <c r="O61" s="4"/>
      <c r="P61" s="4"/>
      <c r="Q61" s="109"/>
      <c r="R61" s="104">
        <f>(Table1567123[[#This Row],[Commercial Bid Price per case for NOI ($)]]-Table1567123[[#This Row],[Pass-Thru Value per case ($)]])+Table1567123[[#This Row],[Region 1: Fixed Fee Per Case ($)]]</f>
        <v>0</v>
      </c>
      <c r="S61" s="15" t="e">
        <f>(Table1567123[[#This Row],[Commercial Bid Price per case for NOI ($)]]+Table1567123[[#This Row],[Region 1: Fixed Fee Per Case ($)]])/Table1567123[[#This Row],['# of CN Servings per case]]</f>
        <v>#DIV/0!</v>
      </c>
      <c r="T61" s="115" t="e">
        <f>Table1567123[[#This Row],[Total Cost Per Serving (N+O)/I]]*Table1567123[[#This Row],[Estimated Servings Annual]]</f>
        <v>#DIV/0!</v>
      </c>
      <c r="U61" s="104">
        <f>(Table1567123[[#This Row],[Commercial Bid Price per case for NOI ($)]]-Table1567123[[#This Row],[Pass-Thru Value per case ($)]])+Table1567123[[#This Row],[Region 2: Fixed Fee Per Case ($)]]</f>
        <v>0</v>
      </c>
      <c r="V61" s="31" t="e">
        <f>(Table1567123[[#This Row],[Commercial Bid Price per case for NOI ($)]]+Table1567123[[#This Row],[Region 2: Fixed Fee Per Case ($)]])/Table1567123[[#This Row],['# of CN Servings per case]]</f>
        <v>#DIV/0!</v>
      </c>
      <c r="W61" s="17" t="e">
        <f>Table1567123[[#This Row],[Total Cost Per Serving (N+P)/I]]*Table1567123[[#This Row],[Estimated Servings Annual]]</f>
        <v>#DIV/0!</v>
      </c>
    </row>
    <row r="62" spans="1:23" x14ac:dyDescent="0.25">
      <c r="A62" s="45" t="s">
        <v>131</v>
      </c>
      <c r="B62" s="43" t="s">
        <v>141</v>
      </c>
      <c r="C62" s="59" t="s">
        <v>136</v>
      </c>
      <c r="D62" s="7"/>
      <c r="E62" s="7"/>
      <c r="F62" s="7"/>
      <c r="G62" s="7"/>
      <c r="H62" s="7"/>
      <c r="I62" s="7"/>
      <c r="J62" s="93">
        <v>800000</v>
      </c>
      <c r="K62" s="7"/>
      <c r="L62" s="7"/>
      <c r="M62" s="7"/>
      <c r="N62" s="7"/>
      <c r="O62" s="7"/>
      <c r="P62" s="7"/>
      <c r="Q62" s="110"/>
      <c r="R62" s="105">
        <f>(Table1567123[[#This Row],[Commercial Bid Price per case for NOI ($)]]-Table1567123[[#This Row],[Pass-Thru Value per case ($)]])+Table1567123[[#This Row],[Region 1: Fixed Fee Per Case ($)]]</f>
        <v>0</v>
      </c>
      <c r="S62" s="18" t="e">
        <f>(Table1567123[[#This Row],[Commercial Bid Price per case for NOI ($)]]+Table1567123[[#This Row],[Region 1: Fixed Fee Per Case ($)]])/Table1567123[[#This Row],['# of CN Servings per case]]</f>
        <v>#DIV/0!</v>
      </c>
      <c r="T62" s="118" t="e">
        <f>Table1567123[[#This Row],[Total Cost Per Serving (N+O)/I]]*Table1567123[[#This Row],[Estimated Servings Annual]]</f>
        <v>#DIV/0!</v>
      </c>
      <c r="U62" s="105">
        <f>(Table1567123[[#This Row],[Commercial Bid Price per case for NOI ($)]]-Table1567123[[#This Row],[Pass-Thru Value per case ($)]])+Table1567123[[#This Row],[Region 2: Fixed Fee Per Case ($)]]</f>
        <v>0</v>
      </c>
      <c r="V62" s="24" t="e">
        <f>(Table1567123[[#This Row],[Commercial Bid Price per case for NOI ($)]]+Table1567123[[#This Row],[Region 2: Fixed Fee Per Case ($)]])/Table1567123[[#This Row],['# of CN Servings per case]]</f>
        <v>#DIV/0!</v>
      </c>
      <c r="W62" s="20" t="e">
        <f>Table1567123[[#This Row],[Total Cost Per Serving (N+P)/I]]*Table1567123[[#This Row],[Estimated Servings Annual]]</f>
        <v>#DIV/0!</v>
      </c>
    </row>
    <row r="63" spans="1:23" x14ac:dyDescent="0.25">
      <c r="A63" s="45" t="s">
        <v>131</v>
      </c>
      <c r="B63" s="43" t="s">
        <v>141</v>
      </c>
      <c r="C63" s="59" t="s">
        <v>135</v>
      </c>
      <c r="D63" s="7"/>
      <c r="E63" s="7"/>
      <c r="F63" s="7"/>
      <c r="G63" s="7"/>
      <c r="H63" s="7"/>
      <c r="I63" s="7"/>
      <c r="J63" s="93">
        <v>800000</v>
      </c>
      <c r="K63" s="7"/>
      <c r="L63" s="7"/>
      <c r="M63" s="7"/>
      <c r="N63" s="7"/>
      <c r="O63" s="7"/>
      <c r="P63" s="7"/>
      <c r="Q63" s="110"/>
      <c r="R63" s="105">
        <f>(Table1567123[[#This Row],[Commercial Bid Price per case for NOI ($)]]-Table1567123[[#This Row],[Pass-Thru Value per case ($)]])+Table1567123[[#This Row],[Region 1: Fixed Fee Per Case ($)]]</f>
        <v>0</v>
      </c>
      <c r="S63" s="18" t="e">
        <f>(Table1567123[[#This Row],[Commercial Bid Price per case for NOI ($)]]+Table1567123[[#This Row],[Region 1: Fixed Fee Per Case ($)]])/Table1567123[[#This Row],['# of CN Servings per case]]</f>
        <v>#DIV/0!</v>
      </c>
      <c r="T63" s="118" t="e">
        <f>Table1567123[[#This Row],[Total Cost Per Serving (N+O)/I]]*Table1567123[[#This Row],[Estimated Servings Annual]]</f>
        <v>#DIV/0!</v>
      </c>
      <c r="U63" s="105">
        <f>(Table1567123[[#This Row],[Commercial Bid Price per case for NOI ($)]]-Table1567123[[#This Row],[Pass-Thru Value per case ($)]])+Table1567123[[#This Row],[Region 2: Fixed Fee Per Case ($)]]</f>
        <v>0</v>
      </c>
      <c r="V63" s="24" t="e">
        <f>(Table1567123[[#This Row],[Commercial Bid Price per case for NOI ($)]]+Table1567123[[#This Row],[Region 2: Fixed Fee Per Case ($)]])/Table1567123[[#This Row],['# of CN Servings per case]]</f>
        <v>#DIV/0!</v>
      </c>
      <c r="W63" s="20" t="e">
        <f>Table1567123[[#This Row],[Total Cost Per Serving (N+P)/I]]*Table1567123[[#This Row],[Estimated Servings Annual]]</f>
        <v>#DIV/0!</v>
      </c>
    </row>
    <row r="64" spans="1:23" x14ac:dyDescent="0.25">
      <c r="A64" s="45" t="s">
        <v>131</v>
      </c>
      <c r="B64" s="43" t="s">
        <v>141</v>
      </c>
      <c r="C64" s="59" t="s">
        <v>135</v>
      </c>
      <c r="D64" s="7"/>
      <c r="E64" s="7"/>
      <c r="F64" s="7"/>
      <c r="G64" s="7"/>
      <c r="H64" s="7"/>
      <c r="I64" s="7"/>
      <c r="J64" s="93">
        <v>800000</v>
      </c>
      <c r="K64" s="7"/>
      <c r="L64" s="7"/>
      <c r="M64" s="7"/>
      <c r="N64" s="7"/>
      <c r="O64" s="7"/>
      <c r="P64" s="7"/>
      <c r="Q64" s="110"/>
      <c r="R64" s="105">
        <f>(Table1567123[[#This Row],[Commercial Bid Price per case for NOI ($)]]-Table1567123[[#This Row],[Pass-Thru Value per case ($)]])+Table1567123[[#This Row],[Region 1: Fixed Fee Per Case ($)]]</f>
        <v>0</v>
      </c>
      <c r="S64" s="18" t="e">
        <f>(Table1567123[[#This Row],[Commercial Bid Price per case for NOI ($)]]+Table1567123[[#This Row],[Region 1: Fixed Fee Per Case ($)]])/Table1567123[[#This Row],['# of CN Servings per case]]</f>
        <v>#DIV/0!</v>
      </c>
      <c r="T64" s="118" t="e">
        <f>Table1567123[[#This Row],[Total Cost Per Serving (N+O)/I]]*Table1567123[[#This Row],[Estimated Servings Annual]]</f>
        <v>#DIV/0!</v>
      </c>
      <c r="U64" s="105">
        <f>(Table1567123[[#This Row],[Commercial Bid Price per case for NOI ($)]]-Table1567123[[#This Row],[Pass-Thru Value per case ($)]])+Table1567123[[#This Row],[Region 2: Fixed Fee Per Case ($)]]</f>
        <v>0</v>
      </c>
      <c r="V64" s="24" t="e">
        <f>(Table1567123[[#This Row],[Commercial Bid Price per case for NOI ($)]]+Table1567123[[#This Row],[Region 2: Fixed Fee Per Case ($)]])/Table1567123[[#This Row],['# of CN Servings per case]]</f>
        <v>#DIV/0!</v>
      </c>
      <c r="W64" s="20" t="e">
        <f>Table1567123[[#This Row],[Total Cost Per Serving (N+P)/I]]*Table1567123[[#This Row],[Estimated Servings Annual]]</f>
        <v>#DIV/0!</v>
      </c>
    </row>
    <row r="65" spans="1:23" x14ac:dyDescent="0.25">
      <c r="A65" s="45" t="s">
        <v>131</v>
      </c>
      <c r="B65" s="43" t="s">
        <v>141</v>
      </c>
      <c r="C65" s="59" t="s">
        <v>134</v>
      </c>
      <c r="D65" s="7"/>
      <c r="E65" s="7"/>
      <c r="F65" s="7"/>
      <c r="G65" s="7"/>
      <c r="H65" s="7"/>
      <c r="I65" s="7"/>
      <c r="J65" s="93">
        <v>800000</v>
      </c>
      <c r="K65" s="7"/>
      <c r="L65" s="7"/>
      <c r="M65" s="7"/>
      <c r="N65" s="7"/>
      <c r="O65" s="7"/>
      <c r="P65" s="7"/>
      <c r="Q65" s="110"/>
      <c r="R65" s="105">
        <f>(Table1567123[[#This Row],[Commercial Bid Price per case for NOI ($)]]-Table1567123[[#This Row],[Pass-Thru Value per case ($)]])+Table1567123[[#This Row],[Region 1: Fixed Fee Per Case ($)]]</f>
        <v>0</v>
      </c>
      <c r="S65" s="18" t="e">
        <f>(Table1567123[[#This Row],[Commercial Bid Price per case for NOI ($)]]+Table1567123[[#This Row],[Region 1: Fixed Fee Per Case ($)]])/Table1567123[[#This Row],['# of CN Servings per case]]</f>
        <v>#DIV/0!</v>
      </c>
      <c r="T65" s="118" t="e">
        <f>Table1567123[[#This Row],[Total Cost Per Serving (N+O)/I]]*Table1567123[[#This Row],[Estimated Servings Annual]]</f>
        <v>#DIV/0!</v>
      </c>
      <c r="U65" s="105">
        <f>(Table1567123[[#This Row],[Commercial Bid Price per case for NOI ($)]]-Table1567123[[#This Row],[Pass-Thru Value per case ($)]])+Table1567123[[#This Row],[Region 2: Fixed Fee Per Case ($)]]</f>
        <v>0</v>
      </c>
      <c r="V65" s="24" t="e">
        <f>(Table1567123[[#This Row],[Commercial Bid Price per case for NOI ($)]]+Table1567123[[#This Row],[Region 2: Fixed Fee Per Case ($)]])/Table1567123[[#This Row],['# of CN Servings per case]]</f>
        <v>#DIV/0!</v>
      </c>
      <c r="W65" s="20" t="e">
        <f>Table1567123[[#This Row],[Total Cost Per Serving (N+P)/I]]*Table1567123[[#This Row],[Estimated Servings Annual]]</f>
        <v>#DIV/0!</v>
      </c>
    </row>
    <row r="66" spans="1:23" x14ac:dyDescent="0.25">
      <c r="A66" s="45" t="s">
        <v>131</v>
      </c>
      <c r="B66" s="43" t="s">
        <v>141</v>
      </c>
      <c r="C66" s="59" t="s">
        <v>134</v>
      </c>
      <c r="D66" s="7"/>
      <c r="E66" s="7"/>
      <c r="F66" s="7"/>
      <c r="G66" s="7"/>
      <c r="H66" s="7"/>
      <c r="I66" s="7"/>
      <c r="J66" s="93">
        <v>800000</v>
      </c>
      <c r="K66" s="7"/>
      <c r="L66" s="7"/>
      <c r="M66" s="7"/>
      <c r="N66" s="7"/>
      <c r="O66" s="7"/>
      <c r="P66" s="7"/>
      <c r="Q66" s="110"/>
      <c r="R66" s="105">
        <f>(Table1567123[[#This Row],[Commercial Bid Price per case for NOI ($)]]-Table1567123[[#This Row],[Pass-Thru Value per case ($)]])+Table1567123[[#This Row],[Region 1: Fixed Fee Per Case ($)]]</f>
        <v>0</v>
      </c>
      <c r="S66" s="18" t="e">
        <f>(Table1567123[[#This Row],[Commercial Bid Price per case for NOI ($)]]+Table1567123[[#This Row],[Region 1: Fixed Fee Per Case ($)]])/Table1567123[[#This Row],['# of CN Servings per case]]</f>
        <v>#DIV/0!</v>
      </c>
      <c r="T66" s="118" t="e">
        <f>Table1567123[[#This Row],[Total Cost Per Serving (N+O)/I]]*Table1567123[[#This Row],[Estimated Servings Annual]]</f>
        <v>#DIV/0!</v>
      </c>
      <c r="U66" s="105">
        <f>(Table1567123[[#This Row],[Commercial Bid Price per case for NOI ($)]]-Table1567123[[#This Row],[Pass-Thru Value per case ($)]])+Table1567123[[#This Row],[Region 2: Fixed Fee Per Case ($)]]</f>
        <v>0</v>
      </c>
      <c r="V66" s="24" t="e">
        <f>(Table1567123[[#This Row],[Commercial Bid Price per case for NOI ($)]]+Table1567123[[#This Row],[Region 2: Fixed Fee Per Case ($)]])/Table1567123[[#This Row],['# of CN Servings per case]]</f>
        <v>#DIV/0!</v>
      </c>
      <c r="W66" s="20" t="e">
        <f>Table1567123[[#This Row],[Total Cost Per Serving (N+P)/I]]*Table1567123[[#This Row],[Estimated Servings Annual]]</f>
        <v>#DIV/0!</v>
      </c>
    </row>
    <row r="67" spans="1:23" x14ac:dyDescent="0.25">
      <c r="A67" s="45" t="s">
        <v>131</v>
      </c>
      <c r="B67" s="43" t="s">
        <v>141</v>
      </c>
      <c r="C67" s="7" t="s">
        <v>13</v>
      </c>
      <c r="D67" s="7"/>
      <c r="E67" s="7"/>
      <c r="F67" s="7"/>
      <c r="G67" s="7"/>
      <c r="H67" s="7"/>
      <c r="I67" s="7"/>
      <c r="J67" s="93">
        <v>800000</v>
      </c>
      <c r="K67" s="7"/>
      <c r="L67" s="7"/>
      <c r="M67" s="7"/>
      <c r="N67" s="7"/>
      <c r="O67" s="7"/>
      <c r="P67" s="7"/>
      <c r="Q67" s="110"/>
      <c r="R67" s="105">
        <f>(Table1567123[[#This Row],[Commercial Bid Price per case for NOI ($)]]-Table1567123[[#This Row],[Pass-Thru Value per case ($)]])+Table1567123[[#This Row],[Region 1: Fixed Fee Per Case ($)]]</f>
        <v>0</v>
      </c>
      <c r="S67" s="18" t="e">
        <f>(Table1567123[[#This Row],[Commercial Bid Price per case for NOI ($)]]+Table1567123[[#This Row],[Region 1: Fixed Fee Per Case ($)]])/Table1567123[[#This Row],['# of CN Servings per case]]</f>
        <v>#DIV/0!</v>
      </c>
      <c r="T67" s="118" t="e">
        <f>Table1567123[[#This Row],[Total Cost Per Serving (N+O)/I]]*Table1567123[[#This Row],[Estimated Servings Annual]]</f>
        <v>#DIV/0!</v>
      </c>
      <c r="U67" s="105">
        <f>(Table1567123[[#This Row],[Commercial Bid Price per case for NOI ($)]]-Table1567123[[#This Row],[Pass-Thru Value per case ($)]])+Table1567123[[#This Row],[Region 2: Fixed Fee Per Case ($)]]</f>
        <v>0</v>
      </c>
      <c r="V67" s="24" t="e">
        <f>(Table1567123[[#This Row],[Commercial Bid Price per case for NOI ($)]]+Table1567123[[#This Row],[Region 2: Fixed Fee Per Case ($)]])/Table1567123[[#This Row],['# of CN Servings per case]]</f>
        <v>#DIV/0!</v>
      </c>
      <c r="W67" s="20" t="e">
        <f>Table1567123[[#This Row],[Total Cost Per Serving (N+P)/I]]*Table1567123[[#This Row],[Estimated Servings Annual]]</f>
        <v>#DIV/0!</v>
      </c>
    </row>
    <row r="68" spans="1:23" x14ac:dyDescent="0.25">
      <c r="A68" s="45" t="s">
        <v>131</v>
      </c>
      <c r="B68" s="43" t="s">
        <v>141</v>
      </c>
      <c r="C68" s="7" t="s">
        <v>13</v>
      </c>
      <c r="D68" s="7"/>
      <c r="E68" s="7"/>
      <c r="F68" s="7"/>
      <c r="G68" s="7"/>
      <c r="H68" s="7"/>
      <c r="I68" s="7"/>
      <c r="J68" s="93">
        <v>800000</v>
      </c>
      <c r="K68" s="7"/>
      <c r="L68" s="7"/>
      <c r="M68" s="7"/>
      <c r="N68" s="7"/>
      <c r="O68" s="7"/>
      <c r="P68" s="7"/>
      <c r="Q68" s="110"/>
      <c r="R68" s="105">
        <f>(Table1567123[[#This Row],[Commercial Bid Price per case for NOI ($)]]-Table1567123[[#This Row],[Pass-Thru Value per case ($)]])+Table1567123[[#This Row],[Region 1: Fixed Fee Per Case ($)]]</f>
        <v>0</v>
      </c>
      <c r="S68" s="18" t="e">
        <f>(Table1567123[[#This Row],[Commercial Bid Price per case for NOI ($)]]+Table1567123[[#This Row],[Region 1: Fixed Fee Per Case ($)]])/Table1567123[[#This Row],['# of CN Servings per case]]</f>
        <v>#DIV/0!</v>
      </c>
      <c r="T68" s="118" t="e">
        <f>Table1567123[[#This Row],[Total Cost Per Serving (N+O)/I]]*Table1567123[[#This Row],[Estimated Servings Annual]]</f>
        <v>#DIV/0!</v>
      </c>
      <c r="U68" s="105">
        <f>(Table1567123[[#This Row],[Commercial Bid Price per case for NOI ($)]]-Table1567123[[#This Row],[Pass-Thru Value per case ($)]])+Table1567123[[#This Row],[Region 2: Fixed Fee Per Case ($)]]</f>
        <v>0</v>
      </c>
      <c r="V68" s="24" t="e">
        <f>(Table1567123[[#This Row],[Commercial Bid Price per case for NOI ($)]]+Table1567123[[#This Row],[Region 2: Fixed Fee Per Case ($)]])/Table1567123[[#This Row],['# of CN Servings per case]]</f>
        <v>#DIV/0!</v>
      </c>
      <c r="W68" s="20" t="e">
        <f>Table1567123[[#This Row],[Total Cost Per Serving (N+P)/I]]*Table1567123[[#This Row],[Estimated Servings Annual]]</f>
        <v>#DIV/0!</v>
      </c>
    </row>
    <row r="69" spans="1:23" x14ac:dyDescent="0.25">
      <c r="A69" s="45" t="s">
        <v>131</v>
      </c>
      <c r="B69" s="43" t="s">
        <v>141</v>
      </c>
      <c r="C69" s="7" t="s">
        <v>13</v>
      </c>
      <c r="D69" s="7"/>
      <c r="E69" s="7"/>
      <c r="F69" s="7"/>
      <c r="G69" s="7"/>
      <c r="H69" s="7"/>
      <c r="I69" s="7"/>
      <c r="J69" s="93">
        <v>800000</v>
      </c>
      <c r="K69" s="7"/>
      <c r="L69" s="7"/>
      <c r="M69" s="7"/>
      <c r="N69" s="7"/>
      <c r="O69" s="7"/>
      <c r="P69" s="7"/>
      <c r="Q69" s="110"/>
      <c r="R69" s="105">
        <f>(Table1567123[[#This Row],[Commercial Bid Price per case for NOI ($)]]-Table1567123[[#This Row],[Pass-Thru Value per case ($)]])+Table1567123[[#This Row],[Region 1: Fixed Fee Per Case ($)]]</f>
        <v>0</v>
      </c>
      <c r="S69" s="18" t="e">
        <f>(Table1567123[[#This Row],[Commercial Bid Price per case for NOI ($)]]+Table1567123[[#This Row],[Region 1: Fixed Fee Per Case ($)]])/Table1567123[[#This Row],['# of CN Servings per case]]</f>
        <v>#DIV/0!</v>
      </c>
      <c r="T69" s="118" t="e">
        <f>Table1567123[[#This Row],[Total Cost Per Serving (N+O)/I]]*Table1567123[[#This Row],[Estimated Servings Annual]]</f>
        <v>#DIV/0!</v>
      </c>
      <c r="U69" s="105">
        <f>(Table1567123[[#This Row],[Commercial Bid Price per case for NOI ($)]]-Table1567123[[#This Row],[Pass-Thru Value per case ($)]])+Table1567123[[#This Row],[Region 2: Fixed Fee Per Case ($)]]</f>
        <v>0</v>
      </c>
      <c r="V69" s="24" t="e">
        <f>(Table1567123[[#This Row],[Commercial Bid Price per case for NOI ($)]]+Table1567123[[#This Row],[Region 2: Fixed Fee Per Case ($)]])/Table1567123[[#This Row],['# of CN Servings per case]]</f>
        <v>#DIV/0!</v>
      </c>
      <c r="W69" s="20" t="e">
        <f>Table1567123[[#This Row],[Total Cost Per Serving (N+P)/I]]*Table1567123[[#This Row],[Estimated Servings Annual]]</f>
        <v>#DIV/0!</v>
      </c>
    </row>
    <row r="70" spans="1:23" ht="15.75" thickBot="1" x14ac:dyDescent="0.3">
      <c r="A70" s="45" t="s">
        <v>131</v>
      </c>
      <c r="B70" s="44" t="s">
        <v>141</v>
      </c>
      <c r="C70" s="9" t="s">
        <v>13</v>
      </c>
      <c r="D70" s="9"/>
      <c r="E70" s="9"/>
      <c r="F70" s="9"/>
      <c r="G70" s="9"/>
      <c r="H70" s="9"/>
      <c r="I70" s="9"/>
      <c r="J70" s="94">
        <v>800000</v>
      </c>
      <c r="K70" s="9"/>
      <c r="L70" s="9"/>
      <c r="M70" s="9"/>
      <c r="N70" s="9"/>
      <c r="O70" s="9"/>
      <c r="P70" s="9"/>
      <c r="Q70" s="111"/>
      <c r="R70" s="106">
        <f>(Table1567123[[#This Row],[Commercial Bid Price per case for NOI ($)]]-Table1567123[[#This Row],[Pass-Thru Value per case ($)]])+Table1567123[[#This Row],[Region 1: Fixed Fee Per Case ($)]]</f>
        <v>0</v>
      </c>
      <c r="S70" s="21" t="e">
        <f>(Table1567123[[#This Row],[Commercial Bid Price per case for NOI ($)]]+Table1567123[[#This Row],[Region 1: Fixed Fee Per Case ($)]])/Table1567123[[#This Row],['# of CN Servings per case]]</f>
        <v>#DIV/0!</v>
      </c>
      <c r="T70" s="120" t="e">
        <f>Table1567123[[#This Row],[Total Cost Per Serving (N+O)/I]]*Table1567123[[#This Row],[Estimated Servings Annual]]</f>
        <v>#DIV/0!</v>
      </c>
      <c r="U70" s="106">
        <f>(Table1567123[[#This Row],[Commercial Bid Price per case for NOI ($)]]-Table1567123[[#This Row],[Pass-Thru Value per case ($)]])+Table1567123[[#This Row],[Region 2: Fixed Fee Per Case ($)]]</f>
        <v>0</v>
      </c>
      <c r="V70" s="25" t="e">
        <f>(Table1567123[[#This Row],[Commercial Bid Price per case for NOI ($)]]+Table1567123[[#This Row],[Region 2: Fixed Fee Per Case ($)]])/Table1567123[[#This Row],['# of CN Servings per case]]</f>
        <v>#DIV/0!</v>
      </c>
      <c r="W70" s="23" t="e">
        <f>Table1567123[[#This Row],[Total Cost Per Serving (N+P)/I]]*Table1567123[[#This Row],[Estimated Servings Annual]]</f>
        <v>#DIV/0!</v>
      </c>
    </row>
    <row r="71" spans="1:23" x14ac:dyDescent="0.25">
      <c r="A71" s="45" t="s">
        <v>131</v>
      </c>
      <c r="B71" s="42" t="s">
        <v>142</v>
      </c>
      <c r="C71" s="60" t="s">
        <v>136</v>
      </c>
      <c r="D71" s="4"/>
      <c r="E71" s="4"/>
      <c r="F71" s="4"/>
      <c r="G71" s="4"/>
      <c r="H71" s="4"/>
      <c r="I71" s="4"/>
      <c r="J71" s="92">
        <v>600000</v>
      </c>
      <c r="K71" s="4"/>
      <c r="L71" s="4"/>
      <c r="M71" s="4"/>
      <c r="N71" s="4"/>
      <c r="O71" s="4"/>
      <c r="P71" s="4"/>
      <c r="Q71" s="109"/>
      <c r="R71" s="104">
        <f>(Table1567123[[#This Row],[Commercial Bid Price per case for NOI ($)]]-Table1567123[[#This Row],[Pass-Thru Value per case ($)]])+Table1567123[[#This Row],[Region 1: Fixed Fee Per Case ($)]]</f>
        <v>0</v>
      </c>
      <c r="S71" s="15" t="e">
        <f>(Table1567123[[#This Row],[Commercial Bid Price per case for NOI ($)]]+Table1567123[[#This Row],[Region 1: Fixed Fee Per Case ($)]])/Table1567123[[#This Row],['# of CN Servings per case]]</f>
        <v>#DIV/0!</v>
      </c>
      <c r="T71" s="115" t="e">
        <f>Table1567123[[#This Row],[Total Cost Per Serving (N+O)/I]]*Table1567123[[#This Row],[Estimated Servings Annual]]</f>
        <v>#DIV/0!</v>
      </c>
      <c r="U71" s="104">
        <f>(Table1567123[[#This Row],[Commercial Bid Price per case for NOI ($)]]-Table1567123[[#This Row],[Pass-Thru Value per case ($)]])+Table1567123[[#This Row],[Region 2: Fixed Fee Per Case ($)]]</f>
        <v>0</v>
      </c>
      <c r="V71" s="31" t="e">
        <f>(Table1567123[[#This Row],[Commercial Bid Price per case for NOI ($)]]+Table1567123[[#This Row],[Region 2: Fixed Fee Per Case ($)]])/Table1567123[[#This Row],['# of CN Servings per case]]</f>
        <v>#DIV/0!</v>
      </c>
      <c r="W71" s="17" t="e">
        <f>Table1567123[[#This Row],[Total Cost Per Serving (N+P)/I]]*Table1567123[[#This Row],[Estimated Servings Annual]]</f>
        <v>#DIV/0!</v>
      </c>
    </row>
    <row r="72" spans="1:23" x14ac:dyDescent="0.25">
      <c r="A72" s="45" t="s">
        <v>131</v>
      </c>
      <c r="B72" s="43" t="s">
        <v>142</v>
      </c>
      <c r="C72" s="59" t="s">
        <v>136</v>
      </c>
      <c r="D72" s="7"/>
      <c r="E72" s="7"/>
      <c r="F72" s="7"/>
      <c r="G72" s="7"/>
      <c r="H72" s="7"/>
      <c r="I72" s="7"/>
      <c r="J72" s="93">
        <v>600000</v>
      </c>
      <c r="K72" s="7"/>
      <c r="L72" s="7"/>
      <c r="M72" s="7"/>
      <c r="N72" s="7"/>
      <c r="O72" s="7"/>
      <c r="P72" s="7"/>
      <c r="Q72" s="110"/>
      <c r="R72" s="105">
        <f>(Table1567123[[#This Row],[Commercial Bid Price per case for NOI ($)]]-Table1567123[[#This Row],[Pass-Thru Value per case ($)]])+Table1567123[[#This Row],[Region 1: Fixed Fee Per Case ($)]]</f>
        <v>0</v>
      </c>
      <c r="S72" s="18" t="e">
        <f>(Table1567123[[#This Row],[Commercial Bid Price per case for NOI ($)]]+Table1567123[[#This Row],[Region 1: Fixed Fee Per Case ($)]])/Table1567123[[#This Row],['# of CN Servings per case]]</f>
        <v>#DIV/0!</v>
      </c>
      <c r="T72" s="118" t="e">
        <f>Table1567123[[#This Row],[Total Cost Per Serving (N+O)/I]]*Table1567123[[#This Row],[Estimated Servings Annual]]</f>
        <v>#DIV/0!</v>
      </c>
      <c r="U72" s="105">
        <f>(Table1567123[[#This Row],[Commercial Bid Price per case for NOI ($)]]-Table1567123[[#This Row],[Pass-Thru Value per case ($)]])+Table1567123[[#This Row],[Region 2: Fixed Fee Per Case ($)]]</f>
        <v>0</v>
      </c>
      <c r="V72" s="24" t="e">
        <f>(Table1567123[[#This Row],[Commercial Bid Price per case for NOI ($)]]+Table1567123[[#This Row],[Region 2: Fixed Fee Per Case ($)]])/Table1567123[[#This Row],['# of CN Servings per case]]</f>
        <v>#DIV/0!</v>
      </c>
      <c r="W72" s="20" t="e">
        <f>Table1567123[[#This Row],[Total Cost Per Serving (N+P)/I]]*Table1567123[[#This Row],[Estimated Servings Annual]]</f>
        <v>#DIV/0!</v>
      </c>
    </row>
    <row r="73" spans="1:23" x14ac:dyDescent="0.25">
      <c r="A73" s="45" t="s">
        <v>131</v>
      </c>
      <c r="B73" s="43" t="s">
        <v>142</v>
      </c>
      <c r="C73" s="59" t="s">
        <v>135</v>
      </c>
      <c r="D73" s="7"/>
      <c r="E73" s="7"/>
      <c r="F73" s="7"/>
      <c r="G73" s="7"/>
      <c r="H73" s="7"/>
      <c r="I73" s="7"/>
      <c r="J73" s="93">
        <v>600000</v>
      </c>
      <c r="K73" s="7"/>
      <c r="L73" s="7"/>
      <c r="M73" s="7"/>
      <c r="N73" s="7"/>
      <c r="O73" s="7"/>
      <c r="P73" s="7"/>
      <c r="Q73" s="110"/>
      <c r="R73" s="105">
        <f>(Table1567123[[#This Row],[Commercial Bid Price per case for NOI ($)]]-Table1567123[[#This Row],[Pass-Thru Value per case ($)]])+Table1567123[[#This Row],[Region 1: Fixed Fee Per Case ($)]]</f>
        <v>0</v>
      </c>
      <c r="S73" s="18" t="e">
        <f>(Table1567123[[#This Row],[Commercial Bid Price per case for NOI ($)]]+Table1567123[[#This Row],[Region 1: Fixed Fee Per Case ($)]])/Table1567123[[#This Row],['# of CN Servings per case]]</f>
        <v>#DIV/0!</v>
      </c>
      <c r="T73" s="118" t="e">
        <f>Table1567123[[#This Row],[Total Cost Per Serving (N+O)/I]]*Table1567123[[#This Row],[Estimated Servings Annual]]</f>
        <v>#DIV/0!</v>
      </c>
      <c r="U73" s="105">
        <f>(Table1567123[[#This Row],[Commercial Bid Price per case for NOI ($)]]-Table1567123[[#This Row],[Pass-Thru Value per case ($)]])+Table1567123[[#This Row],[Region 2: Fixed Fee Per Case ($)]]</f>
        <v>0</v>
      </c>
      <c r="V73" s="24" t="e">
        <f>(Table1567123[[#This Row],[Commercial Bid Price per case for NOI ($)]]+Table1567123[[#This Row],[Region 2: Fixed Fee Per Case ($)]])/Table1567123[[#This Row],['# of CN Servings per case]]</f>
        <v>#DIV/0!</v>
      </c>
      <c r="W73" s="20" t="e">
        <f>Table1567123[[#This Row],[Total Cost Per Serving (N+P)/I]]*Table1567123[[#This Row],[Estimated Servings Annual]]</f>
        <v>#DIV/0!</v>
      </c>
    </row>
    <row r="74" spans="1:23" x14ac:dyDescent="0.25">
      <c r="A74" s="45" t="s">
        <v>131</v>
      </c>
      <c r="B74" s="43" t="s">
        <v>142</v>
      </c>
      <c r="C74" s="59" t="s">
        <v>135</v>
      </c>
      <c r="D74" s="7"/>
      <c r="E74" s="7"/>
      <c r="F74" s="7"/>
      <c r="G74" s="7"/>
      <c r="H74" s="7"/>
      <c r="I74" s="7"/>
      <c r="J74" s="93">
        <v>600000</v>
      </c>
      <c r="K74" s="7"/>
      <c r="L74" s="7"/>
      <c r="M74" s="7"/>
      <c r="N74" s="7"/>
      <c r="O74" s="7"/>
      <c r="P74" s="7"/>
      <c r="Q74" s="110"/>
      <c r="R74" s="105">
        <f>(Table1567123[[#This Row],[Commercial Bid Price per case for NOI ($)]]-Table1567123[[#This Row],[Pass-Thru Value per case ($)]])+Table1567123[[#This Row],[Region 1: Fixed Fee Per Case ($)]]</f>
        <v>0</v>
      </c>
      <c r="S74" s="18" t="e">
        <f>(Table1567123[[#This Row],[Commercial Bid Price per case for NOI ($)]]+Table1567123[[#This Row],[Region 1: Fixed Fee Per Case ($)]])/Table1567123[[#This Row],['# of CN Servings per case]]</f>
        <v>#DIV/0!</v>
      </c>
      <c r="T74" s="118" t="e">
        <f>Table1567123[[#This Row],[Total Cost Per Serving (N+O)/I]]*Table1567123[[#This Row],[Estimated Servings Annual]]</f>
        <v>#DIV/0!</v>
      </c>
      <c r="U74" s="105">
        <f>(Table1567123[[#This Row],[Commercial Bid Price per case for NOI ($)]]-Table1567123[[#This Row],[Pass-Thru Value per case ($)]])+Table1567123[[#This Row],[Region 2: Fixed Fee Per Case ($)]]</f>
        <v>0</v>
      </c>
      <c r="V74" s="24" t="e">
        <f>(Table1567123[[#This Row],[Commercial Bid Price per case for NOI ($)]]+Table1567123[[#This Row],[Region 2: Fixed Fee Per Case ($)]])/Table1567123[[#This Row],['# of CN Servings per case]]</f>
        <v>#DIV/0!</v>
      </c>
      <c r="W74" s="20" t="e">
        <f>Table1567123[[#This Row],[Total Cost Per Serving (N+P)/I]]*Table1567123[[#This Row],[Estimated Servings Annual]]</f>
        <v>#DIV/0!</v>
      </c>
    </row>
    <row r="75" spans="1:23" x14ac:dyDescent="0.25">
      <c r="A75" s="45" t="s">
        <v>131</v>
      </c>
      <c r="B75" s="43" t="s">
        <v>142</v>
      </c>
      <c r="C75" s="59" t="s">
        <v>134</v>
      </c>
      <c r="D75" s="7"/>
      <c r="E75" s="7"/>
      <c r="F75" s="7"/>
      <c r="G75" s="7"/>
      <c r="H75" s="7"/>
      <c r="I75" s="7"/>
      <c r="J75" s="93">
        <v>600000</v>
      </c>
      <c r="K75" s="7"/>
      <c r="L75" s="7"/>
      <c r="M75" s="7"/>
      <c r="N75" s="7"/>
      <c r="O75" s="7"/>
      <c r="P75" s="7"/>
      <c r="Q75" s="110"/>
      <c r="R75" s="105">
        <f>(Table1567123[[#This Row],[Commercial Bid Price per case for NOI ($)]]-Table1567123[[#This Row],[Pass-Thru Value per case ($)]])+Table1567123[[#This Row],[Region 1: Fixed Fee Per Case ($)]]</f>
        <v>0</v>
      </c>
      <c r="S75" s="18" t="e">
        <f>(Table1567123[[#This Row],[Commercial Bid Price per case for NOI ($)]]+Table1567123[[#This Row],[Region 1: Fixed Fee Per Case ($)]])/Table1567123[[#This Row],['# of CN Servings per case]]</f>
        <v>#DIV/0!</v>
      </c>
      <c r="T75" s="118" t="e">
        <f>Table1567123[[#This Row],[Total Cost Per Serving (N+O)/I]]*Table1567123[[#This Row],[Estimated Servings Annual]]</f>
        <v>#DIV/0!</v>
      </c>
      <c r="U75" s="105">
        <f>(Table1567123[[#This Row],[Commercial Bid Price per case for NOI ($)]]-Table1567123[[#This Row],[Pass-Thru Value per case ($)]])+Table1567123[[#This Row],[Region 2: Fixed Fee Per Case ($)]]</f>
        <v>0</v>
      </c>
      <c r="V75" s="24" t="e">
        <f>(Table1567123[[#This Row],[Commercial Bid Price per case for NOI ($)]]+Table1567123[[#This Row],[Region 2: Fixed Fee Per Case ($)]])/Table1567123[[#This Row],['# of CN Servings per case]]</f>
        <v>#DIV/0!</v>
      </c>
      <c r="W75" s="20" t="e">
        <f>Table1567123[[#This Row],[Total Cost Per Serving (N+P)/I]]*Table1567123[[#This Row],[Estimated Servings Annual]]</f>
        <v>#DIV/0!</v>
      </c>
    </row>
    <row r="76" spans="1:23" x14ac:dyDescent="0.25">
      <c r="A76" s="45" t="s">
        <v>131</v>
      </c>
      <c r="B76" s="43" t="s">
        <v>142</v>
      </c>
      <c r="C76" s="59" t="s">
        <v>134</v>
      </c>
      <c r="D76" s="7"/>
      <c r="E76" s="7"/>
      <c r="F76" s="7"/>
      <c r="G76" s="7"/>
      <c r="H76" s="7"/>
      <c r="I76" s="7"/>
      <c r="J76" s="93">
        <v>600000</v>
      </c>
      <c r="K76" s="7"/>
      <c r="L76" s="7"/>
      <c r="M76" s="7"/>
      <c r="N76" s="7"/>
      <c r="O76" s="7"/>
      <c r="P76" s="7"/>
      <c r="Q76" s="110"/>
      <c r="R76" s="105">
        <f>(Table1567123[[#This Row],[Commercial Bid Price per case for NOI ($)]]-Table1567123[[#This Row],[Pass-Thru Value per case ($)]])+Table1567123[[#This Row],[Region 1: Fixed Fee Per Case ($)]]</f>
        <v>0</v>
      </c>
      <c r="S76" s="18" t="e">
        <f>(Table1567123[[#This Row],[Commercial Bid Price per case for NOI ($)]]+Table1567123[[#This Row],[Region 1: Fixed Fee Per Case ($)]])/Table1567123[[#This Row],['# of CN Servings per case]]</f>
        <v>#DIV/0!</v>
      </c>
      <c r="T76" s="118" t="e">
        <f>Table1567123[[#This Row],[Total Cost Per Serving (N+O)/I]]*Table1567123[[#This Row],[Estimated Servings Annual]]</f>
        <v>#DIV/0!</v>
      </c>
      <c r="U76" s="105">
        <f>(Table1567123[[#This Row],[Commercial Bid Price per case for NOI ($)]]-Table1567123[[#This Row],[Pass-Thru Value per case ($)]])+Table1567123[[#This Row],[Region 2: Fixed Fee Per Case ($)]]</f>
        <v>0</v>
      </c>
      <c r="V76" s="24" t="e">
        <f>(Table1567123[[#This Row],[Commercial Bid Price per case for NOI ($)]]+Table1567123[[#This Row],[Region 2: Fixed Fee Per Case ($)]])/Table1567123[[#This Row],['# of CN Servings per case]]</f>
        <v>#DIV/0!</v>
      </c>
      <c r="W76" s="20" t="e">
        <f>Table1567123[[#This Row],[Total Cost Per Serving (N+P)/I]]*Table1567123[[#This Row],[Estimated Servings Annual]]</f>
        <v>#DIV/0!</v>
      </c>
    </row>
    <row r="77" spans="1:23" x14ac:dyDescent="0.25">
      <c r="A77" s="45" t="s">
        <v>131</v>
      </c>
      <c r="B77" s="43" t="s">
        <v>142</v>
      </c>
      <c r="C77" s="7" t="s">
        <v>13</v>
      </c>
      <c r="D77" s="7"/>
      <c r="E77" s="7"/>
      <c r="F77" s="7"/>
      <c r="G77" s="7"/>
      <c r="H77" s="7"/>
      <c r="I77" s="7"/>
      <c r="J77" s="93">
        <v>600000</v>
      </c>
      <c r="K77" s="7"/>
      <c r="L77" s="7"/>
      <c r="M77" s="7"/>
      <c r="N77" s="7"/>
      <c r="O77" s="7"/>
      <c r="P77" s="7"/>
      <c r="Q77" s="110"/>
      <c r="R77" s="105">
        <f>(Table1567123[[#This Row],[Commercial Bid Price per case for NOI ($)]]-Table1567123[[#This Row],[Pass-Thru Value per case ($)]])+Table1567123[[#This Row],[Region 1: Fixed Fee Per Case ($)]]</f>
        <v>0</v>
      </c>
      <c r="S77" s="18" t="e">
        <f>(Table1567123[[#This Row],[Commercial Bid Price per case for NOI ($)]]+Table1567123[[#This Row],[Region 1: Fixed Fee Per Case ($)]])/Table1567123[[#This Row],['# of CN Servings per case]]</f>
        <v>#DIV/0!</v>
      </c>
      <c r="T77" s="118" t="e">
        <f>Table1567123[[#This Row],[Total Cost Per Serving (N+O)/I]]*Table1567123[[#This Row],[Estimated Servings Annual]]</f>
        <v>#DIV/0!</v>
      </c>
      <c r="U77" s="105">
        <f>(Table1567123[[#This Row],[Commercial Bid Price per case for NOI ($)]]-Table1567123[[#This Row],[Pass-Thru Value per case ($)]])+Table1567123[[#This Row],[Region 2: Fixed Fee Per Case ($)]]</f>
        <v>0</v>
      </c>
      <c r="V77" s="24" t="e">
        <f>(Table1567123[[#This Row],[Commercial Bid Price per case for NOI ($)]]+Table1567123[[#This Row],[Region 2: Fixed Fee Per Case ($)]])/Table1567123[[#This Row],['# of CN Servings per case]]</f>
        <v>#DIV/0!</v>
      </c>
      <c r="W77" s="20" t="e">
        <f>Table1567123[[#This Row],[Total Cost Per Serving (N+P)/I]]*Table1567123[[#This Row],[Estimated Servings Annual]]</f>
        <v>#DIV/0!</v>
      </c>
    </row>
    <row r="78" spans="1:23" x14ac:dyDescent="0.25">
      <c r="A78" s="45" t="s">
        <v>131</v>
      </c>
      <c r="B78" s="43" t="s">
        <v>142</v>
      </c>
      <c r="C78" s="7" t="s">
        <v>13</v>
      </c>
      <c r="D78" s="7"/>
      <c r="E78" s="7"/>
      <c r="F78" s="7"/>
      <c r="G78" s="7"/>
      <c r="H78" s="7"/>
      <c r="I78" s="7"/>
      <c r="J78" s="93">
        <v>600000</v>
      </c>
      <c r="K78" s="7"/>
      <c r="L78" s="7"/>
      <c r="M78" s="7"/>
      <c r="N78" s="7"/>
      <c r="O78" s="7"/>
      <c r="P78" s="7"/>
      <c r="Q78" s="110"/>
      <c r="R78" s="105">
        <f>(Table1567123[[#This Row],[Commercial Bid Price per case for NOI ($)]]-Table1567123[[#This Row],[Pass-Thru Value per case ($)]])+Table1567123[[#This Row],[Region 1: Fixed Fee Per Case ($)]]</f>
        <v>0</v>
      </c>
      <c r="S78" s="18" t="e">
        <f>(Table1567123[[#This Row],[Commercial Bid Price per case for NOI ($)]]+Table1567123[[#This Row],[Region 1: Fixed Fee Per Case ($)]])/Table1567123[[#This Row],['# of CN Servings per case]]</f>
        <v>#DIV/0!</v>
      </c>
      <c r="T78" s="118" t="e">
        <f>Table1567123[[#This Row],[Total Cost Per Serving (N+O)/I]]*Table1567123[[#This Row],[Estimated Servings Annual]]</f>
        <v>#DIV/0!</v>
      </c>
      <c r="U78" s="105">
        <f>(Table1567123[[#This Row],[Commercial Bid Price per case for NOI ($)]]-Table1567123[[#This Row],[Pass-Thru Value per case ($)]])+Table1567123[[#This Row],[Region 2: Fixed Fee Per Case ($)]]</f>
        <v>0</v>
      </c>
      <c r="V78" s="24" t="e">
        <f>(Table1567123[[#This Row],[Commercial Bid Price per case for NOI ($)]]+Table1567123[[#This Row],[Region 2: Fixed Fee Per Case ($)]])/Table1567123[[#This Row],['# of CN Servings per case]]</f>
        <v>#DIV/0!</v>
      </c>
      <c r="W78" s="20" t="e">
        <f>Table1567123[[#This Row],[Total Cost Per Serving (N+P)/I]]*Table1567123[[#This Row],[Estimated Servings Annual]]</f>
        <v>#DIV/0!</v>
      </c>
    </row>
    <row r="79" spans="1:23" x14ac:dyDescent="0.25">
      <c r="A79" s="45" t="s">
        <v>131</v>
      </c>
      <c r="B79" s="43" t="s">
        <v>142</v>
      </c>
      <c r="C79" s="7" t="s">
        <v>13</v>
      </c>
      <c r="D79" s="7"/>
      <c r="E79" s="7"/>
      <c r="F79" s="7"/>
      <c r="G79" s="7"/>
      <c r="H79" s="7"/>
      <c r="I79" s="7"/>
      <c r="J79" s="93">
        <v>600000</v>
      </c>
      <c r="K79" s="7"/>
      <c r="L79" s="7"/>
      <c r="M79" s="7"/>
      <c r="N79" s="7"/>
      <c r="O79" s="7"/>
      <c r="P79" s="7"/>
      <c r="Q79" s="110"/>
      <c r="R79" s="105">
        <f>(Table1567123[[#This Row],[Commercial Bid Price per case for NOI ($)]]-Table1567123[[#This Row],[Pass-Thru Value per case ($)]])+Table1567123[[#This Row],[Region 1: Fixed Fee Per Case ($)]]</f>
        <v>0</v>
      </c>
      <c r="S79" s="18" t="e">
        <f>(Table1567123[[#This Row],[Commercial Bid Price per case for NOI ($)]]+Table1567123[[#This Row],[Region 1: Fixed Fee Per Case ($)]])/Table1567123[[#This Row],['# of CN Servings per case]]</f>
        <v>#DIV/0!</v>
      </c>
      <c r="T79" s="118" t="e">
        <f>Table1567123[[#This Row],[Total Cost Per Serving (N+O)/I]]*Table1567123[[#This Row],[Estimated Servings Annual]]</f>
        <v>#DIV/0!</v>
      </c>
      <c r="U79" s="105">
        <f>(Table1567123[[#This Row],[Commercial Bid Price per case for NOI ($)]]-Table1567123[[#This Row],[Pass-Thru Value per case ($)]])+Table1567123[[#This Row],[Region 2: Fixed Fee Per Case ($)]]</f>
        <v>0</v>
      </c>
      <c r="V79" s="24" t="e">
        <f>(Table1567123[[#This Row],[Commercial Bid Price per case for NOI ($)]]+Table1567123[[#This Row],[Region 2: Fixed Fee Per Case ($)]])/Table1567123[[#This Row],['# of CN Servings per case]]</f>
        <v>#DIV/0!</v>
      </c>
      <c r="W79" s="20" t="e">
        <f>Table1567123[[#This Row],[Total Cost Per Serving (N+P)/I]]*Table1567123[[#This Row],[Estimated Servings Annual]]</f>
        <v>#DIV/0!</v>
      </c>
    </row>
    <row r="80" spans="1:23" ht="15.75" thickBot="1" x14ac:dyDescent="0.3">
      <c r="A80" s="41" t="s">
        <v>131</v>
      </c>
      <c r="B80" s="67" t="s">
        <v>142</v>
      </c>
      <c r="C80" s="9" t="s">
        <v>13</v>
      </c>
      <c r="D80" s="52"/>
      <c r="E80" s="68"/>
      <c r="F80" s="68"/>
      <c r="G80" s="68"/>
      <c r="H80" s="68"/>
      <c r="I80" s="68"/>
      <c r="J80" s="97">
        <v>600000</v>
      </c>
      <c r="K80" s="68"/>
      <c r="L80" s="68"/>
      <c r="M80" s="68"/>
      <c r="N80" s="68"/>
      <c r="O80" s="68"/>
      <c r="P80" s="68"/>
      <c r="Q80" s="132"/>
      <c r="R80" s="106">
        <f>(Table1567123[[#This Row],[Commercial Bid Price per case for NOI ($)]]-Table1567123[[#This Row],[Pass-Thru Value per case ($)]])+Table1567123[[#This Row],[Region 1: Fixed Fee Per Case ($)]]</f>
        <v>0</v>
      </c>
      <c r="S80" s="21" t="e">
        <f>(Table1567123[[#This Row],[Commercial Bid Price per case for NOI ($)]]+Table1567123[[#This Row],[Region 1: Fixed Fee Per Case ($)]])/Table1567123[[#This Row],['# of CN Servings per case]]</f>
        <v>#DIV/0!</v>
      </c>
      <c r="T80" s="120" t="e">
        <f>Table1567123[[#This Row],[Total Cost Per Serving (N+O)/I]]*Table1567123[[#This Row],[Estimated Servings Annual]]</f>
        <v>#DIV/0!</v>
      </c>
      <c r="U80" s="106">
        <f>(Table1567123[[#This Row],[Commercial Bid Price per case for NOI ($)]]-Table1567123[[#This Row],[Pass-Thru Value per case ($)]])+Table1567123[[#This Row],[Region 2: Fixed Fee Per Case ($)]]</f>
        <v>0</v>
      </c>
      <c r="V80" s="25" t="e">
        <f>(Table1567123[[#This Row],[Commercial Bid Price per case for NOI ($)]]+Table1567123[[#This Row],[Region 2: Fixed Fee Per Case ($)]])/Table1567123[[#This Row],['# of CN Servings per case]]</f>
        <v>#DIV/0!</v>
      </c>
      <c r="W80" s="23" t="e">
        <f>Table1567123[[#This Row],[Total Cost Per Serving (N+P)/I]]*Table1567123[[#This Row],[Estimated Servings Annual]]</f>
        <v>#DIV/0!</v>
      </c>
    </row>
  </sheetData>
  <mergeCells count="3">
    <mergeCell ref="E1:G1"/>
    <mergeCell ref="R1:T1"/>
    <mergeCell ref="U1:W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S7" sqref="S7"/>
    </sheetView>
  </sheetViews>
  <sheetFormatPr defaultRowHeight="15" x14ac:dyDescent="0.25"/>
  <cols>
    <col min="1" max="1" width="21.42578125" bestFit="1" customWidth="1"/>
    <col min="2" max="2" width="25.140625" style="1" bestFit="1" customWidth="1"/>
    <col min="3" max="3" width="22" bestFit="1" customWidth="1"/>
    <col min="4" max="4" width="21" bestFit="1" customWidth="1"/>
    <col min="5" max="5" width="31.85546875" customWidth="1"/>
    <col min="6" max="6" width="15.140625" bestFit="1" customWidth="1"/>
    <col min="7" max="7" width="14.28515625" bestFit="1" customWidth="1"/>
    <col min="8" max="9" width="17.5703125" bestFit="1" customWidth="1"/>
    <col min="10" max="10" width="16.42578125" style="90" bestFit="1" customWidth="1"/>
    <col min="11" max="11" width="22.7109375" bestFit="1" customWidth="1"/>
    <col min="12" max="12" width="19.140625" bestFit="1" customWidth="1"/>
    <col min="13" max="13" width="17.28515625" bestFit="1" customWidth="1"/>
    <col min="14" max="14" width="15.42578125" bestFit="1" customWidth="1"/>
    <col min="15" max="15" width="19.5703125" customWidth="1"/>
    <col min="16" max="17" width="18.28515625" bestFit="1" customWidth="1"/>
    <col min="18" max="23" width="17.5703125" customWidth="1"/>
  </cols>
  <sheetData>
    <row r="1" spans="1:23" x14ac:dyDescent="0.25">
      <c r="D1" s="1" t="s">
        <v>149</v>
      </c>
      <c r="E1" s="137" t="str">
        <f>Instructions!A2</f>
        <v xml:space="preserve"> </v>
      </c>
      <c r="F1" s="137"/>
      <c r="G1" s="137"/>
      <c r="R1" s="134" t="s">
        <v>167</v>
      </c>
      <c r="S1" s="135"/>
      <c r="T1" s="136"/>
      <c r="U1" s="134" t="s">
        <v>168</v>
      </c>
      <c r="V1" s="135"/>
      <c r="W1" s="136"/>
    </row>
    <row r="2" spans="1:23" s="1" customFormat="1" ht="45.75" thickBot="1" x14ac:dyDescent="0.3">
      <c r="A2" s="1" t="s">
        <v>14</v>
      </c>
      <c r="B2" s="1" t="s">
        <v>3</v>
      </c>
      <c r="C2" s="1" t="s">
        <v>23</v>
      </c>
      <c r="D2" s="1" t="s">
        <v>154</v>
      </c>
      <c r="E2" s="1" t="s">
        <v>0</v>
      </c>
      <c r="F2" s="1" t="s">
        <v>4</v>
      </c>
      <c r="G2" s="1" t="s">
        <v>20</v>
      </c>
      <c r="H2" s="1" t="s">
        <v>1</v>
      </c>
      <c r="I2" s="1" t="s">
        <v>5</v>
      </c>
      <c r="J2" s="91" t="s">
        <v>6</v>
      </c>
      <c r="K2" s="1" t="s">
        <v>2</v>
      </c>
      <c r="L2" s="1" t="s">
        <v>21</v>
      </c>
      <c r="M2" s="71" t="s">
        <v>153</v>
      </c>
      <c r="N2" s="1" t="s">
        <v>22</v>
      </c>
      <c r="O2" s="1" t="s">
        <v>165</v>
      </c>
      <c r="P2" s="1" t="s">
        <v>166</v>
      </c>
      <c r="Q2" s="1" t="s">
        <v>19</v>
      </c>
      <c r="R2" s="101" t="s">
        <v>162</v>
      </c>
      <c r="S2" s="102" t="s">
        <v>163</v>
      </c>
      <c r="T2" s="103" t="s">
        <v>171</v>
      </c>
      <c r="U2" s="101" t="s">
        <v>169</v>
      </c>
      <c r="V2" s="102" t="s">
        <v>170</v>
      </c>
      <c r="W2" s="103" t="s">
        <v>172</v>
      </c>
    </row>
    <row r="3" spans="1:23" ht="30" x14ac:dyDescent="0.25">
      <c r="A3" s="37" t="s">
        <v>85</v>
      </c>
      <c r="B3" s="42" t="s">
        <v>86</v>
      </c>
      <c r="C3" s="3" t="s">
        <v>88</v>
      </c>
      <c r="D3" s="4"/>
      <c r="E3" s="4"/>
      <c r="F3" s="4"/>
      <c r="G3" s="4"/>
      <c r="H3" s="4"/>
      <c r="I3" s="4"/>
      <c r="J3" s="92">
        <v>100000</v>
      </c>
      <c r="K3" s="4"/>
      <c r="L3" s="4"/>
      <c r="M3" s="4"/>
      <c r="N3" s="4"/>
      <c r="O3" s="4"/>
      <c r="P3" s="4"/>
      <c r="Q3" s="109"/>
      <c r="R3" s="104">
        <f>(Table15671213[[#This Row],[Commercial Bid Price per case for NOI ($)]]-Table15671213[[#This Row],[Pass-Thru Value per case ($)]])+Table15671213[[#This Row],[Region 1: Fixed Fee Per Case ($)]]</f>
        <v>0</v>
      </c>
      <c r="S3" s="15" t="e">
        <f>(Table15671213[[#This Row],[Commercial Bid Price per case for NOI ($)]]+Table15671213[[#This Row],[Region 1: Fixed Fee Per Case ($)]])/Table15671213[[#This Row],['# of CN Servings per case]]</f>
        <v>#DIV/0!</v>
      </c>
      <c r="T3" s="115" t="e">
        <f>Table15671213[[#This Row],[Total Cost Per Serving (N+O)/I]]*Table15671213[[#This Row],[Estimated Servings Annual]]</f>
        <v>#DIV/0!</v>
      </c>
      <c r="U3" s="104">
        <f>(Table15671213[[#This Row],[Commercial Bid Price per case for NOI ($)]]-Table15671213[[#This Row],[Pass-Thru Value per case ($)]])+Table15671213[[#This Row],[Region 2: Fixed Fee Per Case ($)]]</f>
        <v>0</v>
      </c>
      <c r="V3" s="16" t="e">
        <f>(Table15671213[[#This Row],[Commercial Bid Price per case for NOI ($)]]+Table15671213[[#This Row],[Region 2: Fixed Fee Per Case ($)]])/Table15671213[[#This Row],['# of CN Servings per case]]</f>
        <v>#DIV/0!</v>
      </c>
      <c r="W3" s="17" t="e">
        <f>Table15671213[[#This Row],[Total Cost Per Serving (N+P)/I]]*Table15671213[[#This Row],[Estimated Servings Annual]]</f>
        <v>#DIV/0!</v>
      </c>
    </row>
    <row r="4" spans="1:23" ht="30" x14ac:dyDescent="0.25">
      <c r="A4" s="38" t="s">
        <v>85</v>
      </c>
      <c r="B4" s="43" t="s">
        <v>86</v>
      </c>
      <c r="C4" s="6" t="s">
        <v>88</v>
      </c>
      <c r="D4" s="7"/>
      <c r="E4" s="7"/>
      <c r="F4" s="7"/>
      <c r="G4" s="7"/>
      <c r="H4" s="7"/>
      <c r="I4" s="7"/>
      <c r="J4" s="93">
        <v>100000</v>
      </c>
      <c r="K4" s="7"/>
      <c r="L4" s="7"/>
      <c r="M4" s="7"/>
      <c r="N4" s="7"/>
      <c r="O4" s="7"/>
      <c r="P4" s="7"/>
      <c r="Q4" s="110"/>
      <c r="R4" s="105">
        <f>(Table15671213[[#This Row],[Commercial Bid Price per case for NOI ($)]]-Table15671213[[#This Row],[Pass-Thru Value per case ($)]])+Table15671213[[#This Row],[Region 1: Fixed Fee Per Case ($)]]</f>
        <v>0</v>
      </c>
      <c r="S4" s="18" t="e">
        <f>(Table15671213[[#This Row],[Commercial Bid Price per case for NOI ($)]]+Table15671213[[#This Row],[Region 1: Fixed Fee Per Case ($)]])/Table15671213[[#This Row],['# of CN Servings per case]]</f>
        <v>#DIV/0!</v>
      </c>
      <c r="T4" s="118" t="e">
        <f>Table15671213[[#This Row],[Total Cost Per Serving (N+O)/I]]*Table15671213[[#This Row],[Estimated Servings Annual]]</f>
        <v>#DIV/0!</v>
      </c>
      <c r="U4" s="105">
        <f>(Table15671213[[#This Row],[Commercial Bid Price per case for NOI ($)]]-Table15671213[[#This Row],[Pass-Thru Value per case ($)]])+Table15671213[[#This Row],[Region 2: Fixed Fee Per Case ($)]]</f>
        <v>0</v>
      </c>
      <c r="V4" s="19" t="e">
        <f>(Table15671213[[#This Row],[Commercial Bid Price per case for NOI ($)]]+Table15671213[[#This Row],[Region 2: Fixed Fee Per Case ($)]])/Table15671213[[#This Row],['# of CN Servings per case]]</f>
        <v>#DIV/0!</v>
      </c>
      <c r="W4" s="20" t="e">
        <f>Table15671213[[#This Row],[Total Cost Per Serving (N+P)/I]]*Table15671213[[#This Row],[Estimated Servings Annual]]</f>
        <v>#DIV/0!</v>
      </c>
    </row>
    <row r="5" spans="1:23" ht="30" x14ac:dyDescent="0.25">
      <c r="A5" s="38" t="s">
        <v>85</v>
      </c>
      <c r="B5" s="43" t="s">
        <v>86</v>
      </c>
      <c r="C5" s="7" t="s">
        <v>13</v>
      </c>
      <c r="D5" s="7"/>
      <c r="E5" s="7"/>
      <c r="F5" s="7"/>
      <c r="G5" s="7"/>
      <c r="H5" s="7"/>
      <c r="I5" s="7"/>
      <c r="J5" s="93">
        <v>100000</v>
      </c>
      <c r="K5" s="7"/>
      <c r="L5" s="7"/>
      <c r="M5" s="7"/>
      <c r="N5" s="7"/>
      <c r="O5" s="7"/>
      <c r="P5" s="7"/>
      <c r="Q5" s="110"/>
      <c r="R5" s="105">
        <f>(Table15671213[[#This Row],[Commercial Bid Price per case for NOI ($)]]-Table15671213[[#This Row],[Pass-Thru Value per case ($)]])+Table15671213[[#This Row],[Region 1: Fixed Fee Per Case ($)]]</f>
        <v>0</v>
      </c>
      <c r="S5" s="18" t="e">
        <f>(Table15671213[[#This Row],[Commercial Bid Price per case for NOI ($)]]+Table15671213[[#This Row],[Region 1: Fixed Fee Per Case ($)]])/Table15671213[[#This Row],['# of CN Servings per case]]</f>
        <v>#DIV/0!</v>
      </c>
      <c r="T5" s="118" t="e">
        <f>Table15671213[[#This Row],[Total Cost Per Serving (N+O)/I]]*Table15671213[[#This Row],[Estimated Servings Annual]]</f>
        <v>#DIV/0!</v>
      </c>
      <c r="U5" s="105">
        <f>(Table15671213[[#This Row],[Commercial Bid Price per case for NOI ($)]]-Table15671213[[#This Row],[Pass-Thru Value per case ($)]])+Table15671213[[#This Row],[Region 2: Fixed Fee Per Case ($)]]</f>
        <v>0</v>
      </c>
      <c r="V5" s="19" t="e">
        <f>(Table15671213[[#This Row],[Commercial Bid Price per case for NOI ($)]]+Table15671213[[#This Row],[Region 2: Fixed Fee Per Case ($)]])/Table15671213[[#This Row],['# of CN Servings per case]]</f>
        <v>#DIV/0!</v>
      </c>
      <c r="W5" s="20" t="e">
        <f>Table15671213[[#This Row],[Total Cost Per Serving (N+P)/I]]*Table15671213[[#This Row],[Estimated Servings Annual]]</f>
        <v>#DIV/0!</v>
      </c>
    </row>
    <row r="6" spans="1:23" ht="30.75" thickBot="1" x14ac:dyDescent="0.3">
      <c r="A6" s="38" t="s">
        <v>85</v>
      </c>
      <c r="B6" s="44" t="s">
        <v>86</v>
      </c>
      <c r="C6" s="9" t="s">
        <v>13</v>
      </c>
      <c r="D6" s="9"/>
      <c r="E6" s="9"/>
      <c r="F6" s="9"/>
      <c r="G6" s="9"/>
      <c r="H6" s="9"/>
      <c r="I6" s="9"/>
      <c r="J6" s="94">
        <v>100000</v>
      </c>
      <c r="K6" s="9"/>
      <c r="L6" s="9"/>
      <c r="M6" s="9"/>
      <c r="N6" s="9"/>
      <c r="O6" s="9"/>
      <c r="P6" s="9"/>
      <c r="Q6" s="111"/>
      <c r="R6" s="106">
        <f>(Table15671213[[#This Row],[Commercial Bid Price per case for NOI ($)]]-Table15671213[[#This Row],[Pass-Thru Value per case ($)]])+Table15671213[[#This Row],[Region 1: Fixed Fee Per Case ($)]]</f>
        <v>0</v>
      </c>
      <c r="S6" s="21" t="e">
        <f>(Table15671213[[#This Row],[Commercial Bid Price per case for NOI ($)]]+Table15671213[[#This Row],[Region 1: Fixed Fee Per Case ($)]])/Table15671213[[#This Row],['# of CN Servings per case]]</f>
        <v>#DIV/0!</v>
      </c>
      <c r="T6" s="120" t="e">
        <f>Table15671213[[#This Row],[Total Cost Per Serving (N+O)/I]]*Table15671213[[#This Row],[Estimated Servings Annual]]</f>
        <v>#DIV/0!</v>
      </c>
      <c r="U6" s="106">
        <f>(Table15671213[[#This Row],[Commercial Bid Price per case for NOI ($)]]-Table15671213[[#This Row],[Pass-Thru Value per case ($)]])+Table15671213[[#This Row],[Region 2: Fixed Fee Per Case ($)]]</f>
        <v>0</v>
      </c>
      <c r="V6" s="22" t="e">
        <f>(Table15671213[[#This Row],[Commercial Bid Price per case for NOI ($)]]+Table15671213[[#This Row],[Region 2: Fixed Fee Per Case ($)]])/Table15671213[[#This Row],['# of CN Servings per case]]</f>
        <v>#DIV/0!</v>
      </c>
      <c r="W6" s="23" t="e">
        <f>Table15671213[[#This Row],[Total Cost Per Serving (N+P)/I]]*Table15671213[[#This Row],[Estimated Servings Annual]]</f>
        <v>#DIV/0!</v>
      </c>
    </row>
    <row r="7" spans="1:23" ht="30" x14ac:dyDescent="0.25">
      <c r="A7" s="39" t="s">
        <v>85</v>
      </c>
      <c r="B7" s="42" t="s">
        <v>87</v>
      </c>
      <c r="C7" s="3" t="s">
        <v>88</v>
      </c>
      <c r="D7" s="4"/>
      <c r="E7" s="4"/>
      <c r="F7" s="4"/>
      <c r="G7" s="4"/>
      <c r="H7" s="4"/>
      <c r="I7" s="4"/>
      <c r="J7" s="92">
        <v>40000</v>
      </c>
      <c r="K7" s="4"/>
      <c r="L7" s="4"/>
      <c r="M7" s="4"/>
      <c r="N7" s="4"/>
      <c r="O7" s="4"/>
      <c r="P7" s="4"/>
      <c r="Q7" s="109"/>
      <c r="R7" s="104">
        <f>(Table15671213[[#This Row],[Commercial Bid Price per case for NOI ($)]]-Table15671213[[#This Row],[Pass-Thru Value per case ($)]])+Table15671213[[#This Row],[Region 1: Fixed Fee Per Case ($)]]</f>
        <v>0</v>
      </c>
      <c r="S7" s="15" t="e">
        <f>(Table15671213[[#This Row],[Commercial Bid Price per case for NOI ($)]]+Table15671213[[#This Row],[Region 1: Fixed Fee Per Case ($)]])/Table15671213[[#This Row],['# of CN Servings per case]]</f>
        <v>#DIV/0!</v>
      </c>
      <c r="T7" s="115" t="e">
        <f>Table15671213[[#This Row],[Total Cost Per Serving (N+O)/I]]*Table15671213[[#This Row],[Estimated Servings Annual]]</f>
        <v>#DIV/0!</v>
      </c>
      <c r="U7" s="104">
        <f>(Table15671213[[#This Row],[Commercial Bid Price per case for NOI ($)]]-Table15671213[[#This Row],[Pass-Thru Value per case ($)]])+Table15671213[[#This Row],[Region 2: Fixed Fee Per Case ($)]]</f>
        <v>0</v>
      </c>
      <c r="V7" s="31" t="e">
        <f>(Table15671213[[#This Row],[Commercial Bid Price per case for NOI ($)]]+Table15671213[[#This Row],[Region 2: Fixed Fee Per Case ($)]])/Table15671213[[#This Row],['# of CN Servings per case]]</f>
        <v>#DIV/0!</v>
      </c>
      <c r="W7" s="17" t="e">
        <f>Table15671213[[#This Row],[Total Cost Per Serving (N+P)/I]]*Table15671213[[#This Row],[Estimated Servings Annual]]</f>
        <v>#DIV/0!</v>
      </c>
    </row>
    <row r="8" spans="1:23" ht="30" x14ac:dyDescent="0.25">
      <c r="A8" s="39" t="s">
        <v>85</v>
      </c>
      <c r="B8" s="43" t="s">
        <v>87</v>
      </c>
      <c r="C8" s="6" t="s">
        <v>88</v>
      </c>
      <c r="D8" s="7"/>
      <c r="E8" s="7"/>
      <c r="F8" s="7"/>
      <c r="G8" s="7"/>
      <c r="H8" s="7"/>
      <c r="I8" s="7"/>
      <c r="J8" s="93">
        <v>40000</v>
      </c>
      <c r="K8" s="7"/>
      <c r="L8" s="7"/>
      <c r="M8" s="7"/>
      <c r="N8" s="7"/>
      <c r="O8" s="7"/>
      <c r="P8" s="7"/>
      <c r="Q8" s="110"/>
      <c r="R8" s="105">
        <f>(Table15671213[[#This Row],[Commercial Bid Price per case for NOI ($)]]-Table15671213[[#This Row],[Pass-Thru Value per case ($)]])+Table15671213[[#This Row],[Region 1: Fixed Fee Per Case ($)]]</f>
        <v>0</v>
      </c>
      <c r="S8" s="18" t="e">
        <f>(Table15671213[[#This Row],[Commercial Bid Price per case for NOI ($)]]+Table15671213[[#This Row],[Region 1: Fixed Fee Per Case ($)]])/Table15671213[[#This Row],['# of CN Servings per case]]</f>
        <v>#DIV/0!</v>
      </c>
      <c r="T8" s="118" t="e">
        <f>Table15671213[[#This Row],[Total Cost Per Serving (N+O)/I]]*Table15671213[[#This Row],[Estimated Servings Annual]]</f>
        <v>#DIV/0!</v>
      </c>
      <c r="U8" s="105">
        <f>(Table15671213[[#This Row],[Commercial Bid Price per case for NOI ($)]]-Table15671213[[#This Row],[Pass-Thru Value per case ($)]])+Table15671213[[#This Row],[Region 2: Fixed Fee Per Case ($)]]</f>
        <v>0</v>
      </c>
      <c r="V8" s="24" t="e">
        <f>(Table15671213[[#This Row],[Commercial Bid Price per case for NOI ($)]]+Table15671213[[#This Row],[Region 2: Fixed Fee Per Case ($)]])/Table15671213[[#This Row],['# of CN Servings per case]]</f>
        <v>#DIV/0!</v>
      </c>
      <c r="W8" s="20" t="e">
        <f>Table15671213[[#This Row],[Total Cost Per Serving (N+P)/I]]*Table15671213[[#This Row],[Estimated Servings Annual]]</f>
        <v>#DIV/0!</v>
      </c>
    </row>
    <row r="9" spans="1:23" ht="30" x14ac:dyDescent="0.25">
      <c r="A9" s="39" t="s">
        <v>85</v>
      </c>
      <c r="B9" s="43" t="s">
        <v>87</v>
      </c>
      <c r="C9" s="7" t="s">
        <v>13</v>
      </c>
      <c r="D9" s="7"/>
      <c r="E9" s="7"/>
      <c r="F9" s="7"/>
      <c r="G9" s="7"/>
      <c r="H9" s="7"/>
      <c r="I9" s="7"/>
      <c r="J9" s="93">
        <v>40000</v>
      </c>
      <c r="K9" s="7"/>
      <c r="L9" s="7"/>
      <c r="M9" s="7"/>
      <c r="N9" s="7"/>
      <c r="O9" s="7"/>
      <c r="P9" s="7"/>
      <c r="Q9" s="110"/>
      <c r="R9" s="105">
        <f>(Table15671213[[#This Row],[Commercial Bid Price per case for NOI ($)]]-Table15671213[[#This Row],[Pass-Thru Value per case ($)]])+Table15671213[[#This Row],[Region 1: Fixed Fee Per Case ($)]]</f>
        <v>0</v>
      </c>
      <c r="S9" s="18" t="e">
        <f>(Table15671213[[#This Row],[Commercial Bid Price per case for NOI ($)]]+Table15671213[[#This Row],[Region 1: Fixed Fee Per Case ($)]])/Table15671213[[#This Row],['# of CN Servings per case]]</f>
        <v>#DIV/0!</v>
      </c>
      <c r="T9" s="118" t="e">
        <f>Table15671213[[#This Row],[Total Cost Per Serving (N+O)/I]]*Table15671213[[#This Row],[Estimated Servings Annual]]</f>
        <v>#DIV/0!</v>
      </c>
      <c r="U9" s="105">
        <f>(Table15671213[[#This Row],[Commercial Bid Price per case for NOI ($)]]-Table15671213[[#This Row],[Pass-Thru Value per case ($)]])+Table15671213[[#This Row],[Region 2: Fixed Fee Per Case ($)]]</f>
        <v>0</v>
      </c>
      <c r="V9" s="24" t="e">
        <f>(Table15671213[[#This Row],[Commercial Bid Price per case for NOI ($)]]+Table15671213[[#This Row],[Region 2: Fixed Fee Per Case ($)]])/Table15671213[[#This Row],['# of CN Servings per case]]</f>
        <v>#DIV/0!</v>
      </c>
      <c r="W9" s="20" t="e">
        <f>Table15671213[[#This Row],[Total Cost Per Serving (N+P)/I]]*Table15671213[[#This Row],[Estimated Servings Annual]]</f>
        <v>#DIV/0!</v>
      </c>
    </row>
    <row r="10" spans="1:23" ht="30.75" thickBot="1" x14ac:dyDescent="0.3">
      <c r="A10" s="41" t="s">
        <v>85</v>
      </c>
      <c r="B10" s="44" t="s">
        <v>87</v>
      </c>
      <c r="C10" s="9" t="s">
        <v>13</v>
      </c>
      <c r="D10" s="9"/>
      <c r="E10" s="9"/>
      <c r="F10" s="9"/>
      <c r="G10" s="9"/>
      <c r="H10" s="9"/>
      <c r="I10" s="9"/>
      <c r="J10" s="94">
        <v>40000</v>
      </c>
      <c r="K10" s="9"/>
      <c r="L10" s="9"/>
      <c r="M10" s="9"/>
      <c r="N10" s="9"/>
      <c r="O10" s="9"/>
      <c r="P10" s="9"/>
      <c r="Q10" s="111"/>
      <c r="R10" s="106">
        <f>(Table15671213[[#This Row],[Commercial Bid Price per case for NOI ($)]]-Table15671213[[#This Row],[Pass-Thru Value per case ($)]])+Table15671213[[#This Row],[Region 1: Fixed Fee Per Case ($)]]</f>
        <v>0</v>
      </c>
      <c r="S10" s="21" t="e">
        <f>(Table15671213[[#This Row],[Commercial Bid Price per case for NOI ($)]]+Table15671213[[#This Row],[Region 1: Fixed Fee Per Case ($)]])/Table15671213[[#This Row],['# of CN Servings per case]]</f>
        <v>#DIV/0!</v>
      </c>
      <c r="T10" s="120" t="e">
        <f>Table15671213[[#This Row],[Total Cost Per Serving (N+O)/I]]*Table15671213[[#This Row],[Estimated Servings Annual]]</f>
        <v>#DIV/0!</v>
      </c>
      <c r="U10" s="106">
        <f>(Table15671213[[#This Row],[Commercial Bid Price per case for NOI ($)]]-Table15671213[[#This Row],[Pass-Thru Value per case ($)]])+Table15671213[[#This Row],[Region 2: Fixed Fee Per Case ($)]]</f>
        <v>0</v>
      </c>
      <c r="V10" s="25" t="e">
        <f>(Table15671213[[#This Row],[Commercial Bid Price per case for NOI ($)]]+Table15671213[[#This Row],[Region 2: Fixed Fee Per Case ($)]])/Table15671213[[#This Row],['# of CN Servings per case]]</f>
        <v>#DIV/0!</v>
      </c>
      <c r="W10" s="23" t="e">
        <f>Table15671213[[#This Row],[Total Cost Per Serving (N+P)/I]]*Table15671213[[#This Row],[Estimated Servings Annual]]</f>
        <v>#DIV/0!</v>
      </c>
    </row>
  </sheetData>
  <mergeCells count="3">
    <mergeCell ref="E1:G1"/>
    <mergeCell ref="R1:T1"/>
    <mergeCell ref="U1:W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1"/>
  <sheetViews>
    <sheetView workbookViewId="0">
      <selection activeCell="A3" sqref="A3"/>
    </sheetView>
  </sheetViews>
  <sheetFormatPr defaultRowHeight="15" x14ac:dyDescent="0.25"/>
  <cols>
    <col min="1" max="1" width="26.140625" bestFit="1" customWidth="1"/>
    <col min="2" max="2" width="31" bestFit="1" customWidth="1"/>
  </cols>
  <sheetData>
    <row r="3" spans="1:2" x14ac:dyDescent="0.25">
      <c r="A3" s="10" t="s">
        <v>16</v>
      </c>
      <c r="B3" t="s">
        <v>18</v>
      </c>
    </row>
    <row r="4" spans="1:2" x14ac:dyDescent="0.25">
      <c r="A4" s="11" t="s">
        <v>15</v>
      </c>
      <c r="B4" s="14" t="e">
        <v>#DIV/0!</v>
      </c>
    </row>
    <row r="5" spans="1:2" x14ac:dyDescent="0.25">
      <c r="A5" s="12" t="s">
        <v>7</v>
      </c>
      <c r="B5" s="14" t="e">
        <v>#DIV/0!</v>
      </c>
    </row>
    <row r="6" spans="1:2" x14ac:dyDescent="0.25">
      <c r="A6" s="13" t="s">
        <v>11</v>
      </c>
      <c r="B6" s="14" t="e">
        <v>#DIV/0!</v>
      </c>
    </row>
    <row r="7" spans="1:2" x14ac:dyDescent="0.25">
      <c r="A7" s="13" t="s">
        <v>12</v>
      </c>
      <c r="B7" s="14" t="e">
        <v>#DIV/0!</v>
      </c>
    </row>
    <row r="8" spans="1:2" x14ac:dyDescent="0.25">
      <c r="A8" s="13" t="s">
        <v>13</v>
      </c>
      <c r="B8" s="14" t="e">
        <v>#DIV/0!</v>
      </c>
    </row>
    <row r="9" spans="1:2" x14ac:dyDescent="0.25">
      <c r="A9" s="12" t="s">
        <v>8</v>
      </c>
      <c r="B9" s="14" t="e">
        <v>#DIV/0!</v>
      </c>
    </row>
    <row r="10" spans="1:2" x14ac:dyDescent="0.25">
      <c r="A10" s="13" t="s">
        <v>11</v>
      </c>
      <c r="B10" s="14" t="e">
        <v>#DIV/0!</v>
      </c>
    </row>
    <row r="11" spans="1:2" x14ac:dyDescent="0.25">
      <c r="A11" s="13" t="s">
        <v>12</v>
      </c>
      <c r="B11" s="14" t="e">
        <v>#DIV/0!</v>
      </c>
    </row>
    <row r="12" spans="1:2" x14ac:dyDescent="0.25">
      <c r="A12" s="13" t="s">
        <v>13</v>
      </c>
      <c r="B12" s="14" t="e">
        <v>#DIV/0!</v>
      </c>
    </row>
    <row r="13" spans="1:2" x14ac:dyDescent="0.25">
      <c r="A13" s="12" t="s">
        <v>9</v>
      </c>
      <c r="B13" s="14" t="e">
        <v>#DIV/0!</v>
      </c>
    </row>
    <row r="14" spans="1:2" x14ac:dyDescent="0.25">
      <c r="A14" s="13" t="s">
        <v>11</v>
      </c>
      <c r="B14" s="14" t="e">
        <v>#DIV/0!</v>
      </c>
    </row>
    <row r="15" spans="1:2" x14ac:dyDescent="0.25">
      <c r="A15" s="13" t="s">
        <v>12</v>
      </c>
      <c r="B15" s="14" t="e">
        <v>#DIV/0!</v>
      </c>
    </row>
    <row r="16" spans="1:2" x14ac:dyDescent="0.25">
      <c r="A16" s="13" t="s">
        <v>13</v>
      </c>
      <c r="B16" s="14" t="e">
        <v>#DIV/0!</v>
      </c>
    </row>
    <row r="17" spans="1:2" x14ac:dyDescent="0.25">
      <c r="A17" s="12" t="s">
        <v>10</v>
      </c>
      <c r="B17" s="14" t="e">
        <v>#DIV/0!</v>
      </c>
    </row>
    <row r="18" spans="1:2" x14ac:dyDescent="0.25">
      <c r="A18" s="13" t="s">
        <v>11</v>
      </c>
      <c r="B18" s="14" t="e">
        <v>#DIV/0!</v>
      </c>
    </row>
    <row r="19" spans="1:2" x14ac:dyDescent="0.25">
      <c r="A19" s="13" t="s">
        <v>12</v>
      </c>
      <c r="B19" s="14" t="e">
        <v>#DIV/0!</v>
      </c>
    </row>
    <row r="20" spans="1:2" x14ac:dyDescent="0.25">
      <c r="A20" s="13" t="s">
        <v>13</v>
      </c>
      <c r="B20" s="14" t="e">
        <v>#DIV/0!</v>
      </c>
    </row>
    <row r="21" spans="1:2" x14ac:dyDescent="0.25">
      <c r="A21" s="11" t="s">
        <v>17</v>
      </c>
      <c r="B21" s="14" t="e">
        <v>#DIV/0!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V3" sqref="V3"/>
    </sheetView>
  </sheetViews>
  <sheetFormatPr defaultRowHeight="15" x14ac:dyDescent="0.25"/>
  <cols>
    <col min="1" max="1" width="11.140625" style="77" bestFit="1" customWidth="1"/>
    <col min="2" max="2" width="16.28515625" style="77" bestFit="1" customWidth="1"/>
    <col min="3" max="3" width="22" style="70" bestFit="1" customWidth="1"/>
    <col min="4" max="4" width="21.7109375" style="70" bestFit="1" customWidth="1"/>
    <col min="5" max="5" width="21" style="70" bestFit="1" customWidth="1"/>
    <col min="6" max="6" width="15.5703125" style="70" bestFit="1" customWidth="1"/>
    <col min="7" max="7" width="15.140625" style="70" bestFit="1" customWidth="1"/>
    <col min="8" max="8" width="14.28515625" style="70" bestFit="1" customWidth="1"/>
    <col min="9" max="9" width="17.5703125" style="77" bestFit="1" customWidth="1"/>
    <col min="10" max="10" width="17.5703125" style="88" bestFit="1" customWidth="1"/>
    <col min="11" max="11" width="21.5703125" style="70" bestFit="1" customWidth="1"/>
    <col min="12" max="12" width="18.5703125" style="70" bestFit="1" customWidth="1"/>
    <col min="13" max="13" width="17.5703125" style="70" bestFit="1" customWidth="1"/>
    <col min="14" max="14" width="17.28515625" style="70" bestFit="1" customWidth="1"/>
    <col min="15" max="15" width="17.5703125" style="70" bestFit="1" customWidth="1"/>
    <col min="16" max="16" width="17.5703125" bestFit="1" customWidth="1"/>
    <col min="17" max="17" width="15.140625" bestFit="1" customWidth="1"/>
    <col min="18" max="18" width="16.42578125" customWidth="1"/>
    <col min="19" max="19" width="13.7109375" customWidth="1"/>
    <col min="20" max="20" width="11.28515625" customWidth="1"/>
    <col min="21" max="21" width="16.42578125" customWidth="1"/>
    <col min="22" max="22" width="13.7109375" customWidth="1"/>
    <col min="23" max="23" width="11.28515625" customWidth="1"/>
  </cols>
  <sheetData>
    <row r="1" spans="1:23" x14ac:dyDescent="0.25">
      <c r="D1" s="71" t="s">
        <v>149</v>
      </c>
      <c r="E1" s="133" t="str">
        <f>Instructions!A2</f>
        <v xml:space="preserve"> </v>
      </c>
      <c r="F1" s="133"/>
      <c r="G1" s="133"/>
      <c r="R1" s="134" t="s">
        <v>167</v>
      </c>
      <c r="S1" s="135"/>
      <c r="T1" s="136"/>
      <c r="U1" s="134" t="s">
        <v>168</v>
      </c>
      <c r="V1" s="135"/>
      <c r="W1" s="136"/>
    </row>
    <row r="2" spans="1:23" s="1" customFormat="1" ht="45.75" thickBot="1" x14ac:dyDescent="0.3">
      <c r="A2" s="78" t="s">
        <v>14</v>
      </c>
      <c r="B2" s="78" t="s">
        <v>3</v>
      </c>
      <c r="C2" s="71" t="s">
        <v>23</v>
      </c>
      <c r="D2" s="71" t="s">
        <v>154</v>
      </c>
      <c r="E2" s="71" t="s">
        <v>0</v>
      </c>
      <c r="F2" s="71" t="s">
        <v>4</v>
      </c>
      <c r="G2" s="71" t="s">
        <v>20</v>
      </c>
      <c r="H2" s="71" t="s">
        <v>1</v>
      </c>
      <c r="I2" s="71" t="s">
        <v>5</v>
      </c>
      <c r="J2" s="89" t="s">
        <v>6</v>
      </c>
      <c r="K2" s="71" t="s">
        <v>2</v>
      </c>
      <c r="L2" s="71" t="s">
        <v>21</v>
      </c>
      <c r="M2" s="71" t="s">
        <v>153</v>
      </c>
      <c r="N2" s="71" t="s">
        <v>22</v>
      </c>
      <c r="O2" s="71" t="s">
        <v>165</v>
      </c>
      <c r="P2" s="71" t="s">
        <v>166</v>
      </c>
      <c r="Q2" s="71" t="s">
        <v>19</v>
      </c>
      <c r="R2" s="101" t="s">
        <v>162</v>
      </c>
      <c r="S2" s="102" t="s">
        <v>163</v>
      </c>
      <c r="T2" s="103" t="s">
        <v>171</v>
      </c>
      <c r="U2" s="101" t="s">
        <v>169</v>
      </c>
      <c r="V2" s="102" t="s">
        <v>170</v>
      </c>
      <c r="W2" s="103" t="s">
        <v>172</v>
      </c>
    </row>
    <row r="3" spans="1:23" x14ac:dyDescent="0.25">
      <c r="A3" s="79" t="s">
        <v>27</v>
      </c>
      <c r="B3" s="80" t="s">
        <v>100</v>
      </c>
      <c r="C3" s="72" t="s">
        <v>151</v>
      </c>
      <c r="D3" s="73"/>
      <c r="E3" s="73"/>
      <c r="F3" s="73"/>
      <c r="G3" s="73"/>
      <c r="H3" s="73"/>
      <c r="I3" s="73"/>
      <c r="J3" s="85">
        <v>440000</v>
      </c>
      <c r="K3" s="73"/>
      <c r="L3" s="73"/>
      <c r="M3" s="73"/>
      <c r="N3" s="73"/>
      <c r="O3" s="73"/>
      <c r="P3" s="73"/>
      <c r="Q3" s="98"/>
      <c r="R3" s="104">
        <f>(Table14[[#This Row],[Commercial Bid Price per case for NOI ($)]]-Table14[[#This Row],[Pass-Thru Value per case ($)]])+Table14[[#This Row],[Region 1: Fixed Fee Per Case ($)]]</f>
        <v>0</v>
      </c>
      <c r="S3" s="16" t="e">
        <f>(Table14[[#This Row],[Commercial Bid Price per case for NOI ($)]]+Table14[[#This Row],[Region 1: Fixed Fee Per Case ($)]])/Table14[[#This Row],['# of CN Servings per case]]</f>
        <v>#DIV/0!</v>
      </c>
      <c r="T3" s="17" t="e">
        <f>Table14[[#This Row],[Total Cost Per Serving (N+O)/I]]*Table14[[#This Row],[Estimated Servings Annual]]</f>
        <v>#DIV/0!</v>
      </c>
      <c r="U3" s="104">
        <f>(Table14[[#This Row],[Commercial Bid Price per case for NOI ($)]]-Table14[[#This Row],[Pass-Thru Value per case ($)]])+Table14[[#This Row],[Region 2: Fixed Fee Per Case ($)]]</f>
        <v>0</v>
      </c>
      <c r="V3" s="16" t="e">
        <f>(Table14[[#This Row],[Commercial Bid Price per case for NOI ($)]]+Table14[[#This Row],[Region 2: Fixed Fee Per Case ($)]])/Table14[[#This Row],['# of CN Servings per case]]</f>
        <v>#DIV/0!</v>
      </c>
      <c r="W3" s="17" t="e">
        <f>Table14[[#This Row],[Total Cost Per Serving (N+P)/I]]*Table14[[#This Row],[Estimated Servings Annual]]</f>
        <v>#DIV/0!</v>
      </c>
    </row>
    <row r="4" spans="1:23" x14ac:dyDescent="0.25">
      <c r="A4" s="79" t="s">
        <v>27</v>
      </c>
      <c r="B4" s="81" t="s">
        <v>100</v>
      </c>
      <c r="C4" s="74" t="s">
        <v>151</v>
      </c>
      <c r="D4" s="75"/>
      <c r="E4" s="75"/>
      <c r="F4" s="75"/>
      <c r="G4" s="75"/>
      <c r="H4" s="75"/>
      <c r="I4" s="75"/>
      <c r="J4" s="86">
        <v>440000</v>
      </c>
      <c r="K4" s="75"/>
      <c r="L4" s="75"/>
      <c r="M4" s="75"/>
      <c r="N4" s="75"/>
      <c r="O4" s="75"/>
      <c r="P4" s="75"/>
      <c r="Q4" s="99"/>
      <c r="R4" s="105">
        <f>(Table14[[#This Row],[Commercial Bid Price per case for NOI ($)]]-Table14[[#This Row],[Pass-Thru Value per case ($)]])+Table14[[#This Row],[Region 1: Fixed Fee Per Case ($)]]</f>
        <v>0</v>
      </c>
      <c r="S4" s="19" t="e">
        <f>(Table14[[#This Row],[Commercial Bid Price per case for NOI ($)]]+Table14[[#This Row],[Region 1: Fixed Fee Per Case ($)]])/Table14[[#This Row],['# of CN Servings per case]]</f>
        <v>#DIV/0!</v>
      </c>
      <c r="T4" s="20" t="e">
        <f>Table14[[#This Row],[Total Cost Per Serving (N+O)/I]]*Table14[[#This Row],[Estimated Servings Annual]]</f>
        <v>#DIV/0!</v>
      </c>
      <c r="U4" s="105">
        <f>(Table14[[#This Row],[Commercial Bid Price per case for NOI ($)]]-Table14[[#This Row],[Pass-Thru Value per case ($)]])+Table14[[#This Row],[Region 2: Fixed Fee Per Case ($)]]</f>
        <v>0</v>
      </c>
      <c r="V4" s="19" t="e">
        <f>(Table14[[#This Row],[Commercial Bid Price per case for NOI ($)]]+Table14[[#This Row],[Region 2: Fixed Fee Per Case ($)]])/Table14[[#This Row],['# of CN Servings per case]]</f>
        <v>#DIV/0!</v>
      </c>
      <c r="W4" s="20" t="e">
        <f>Table14[[#This Row],[Total Cost Per Serving (N+P)/I]]*Table14[[#This Row],[Estimated Servings Annual]]</f>
        <v>#DIV/0!</v>
      </c>
    </row>
    <row r="5" spans="1:23" x14ac:dyDescent="0.25">
      <c r="A5" s="79" t="s">
        <v>27</v>
      </c>
      <c r="B5" s="81" t="s">
        <v>100</v>
      </c>
      <c r="C5" s="74" t="s">
        <v>109</v>
      </c>
      <c r="D5" s="75"/>
      <c r="E5" s="75"/>
      <c r="F5" s="75"/>
      <c r="G5" s="75"/>
      <c r="H5" s="75"/>
      <c r="I5" s="75"/>
      <c r="J5" s="86">
        <v>440000</v>
      </c>
      <c r="K5" s="75"/>
      <c r="L5" s="75"/>
      <c r="M5" s="75"/>
      <c r="N5" s="75"/>
      <c r="O5" s="75"/>
      <c r="P5" s="75"/>
      <c r="Q5" s="99"/>
      <c r="R5" s="105">
        <f>(Table14[[#This Row],[Commercial Bid Price per case for NOI ($)]]-Table14[[#This Row],[Pass-Thru Value per case ($)]])+Table14[[#This Row],[Region 1: Fixed Fee Per Case ($)]]</f>
        <v>0</v>
      </c>
      <c r="S5" s="19" t="e">
        <f>(Table14[[#This Row],[Commercial Bid Price per case for NOI ($)]]+Table14[[#This Row],[Region 1: Fixed Fee Per Case ($)]])/Table14[[#This Row],['# of CN Servings per case]]</f>
        <v>#DIV/0!</v>
      </c>
      <c r="T5" s="20" t="e">
        <f>Table14[[#This Row],[Total Cost Per Serving (N+O)/I]]*Table14[[#This Row],[Estimated Servings Annual]]</f>
        <v>#DIV/0!</v>
      </c>
      <c r="U5" s="105">
        <f>(Table14[[#This Row],[Commercial Bid Price per case for NOI ($)]]-Table14[[#This Row],[Pass-Thru Value per case ($)]])+Table14[[#This Row],[Region 2: Fixed Fee Per Case ($)]]</f>
        <v>0</v>
      </c>
      <c r="V5" s="19" t="e">
        <f>(Table14[[#This Row],[Commercial Bid Price per case for NOI ($)]]+Table14[[#This Row],[Region 2: Fixed Fee Per Case ($)]])/Table14[[#This Row],['# of CN Servings per case]]</f>
        <v>#DIV/0!</v>
      </c>
      <c r="W5" s="20" t="e">
        <f>Table14[[#This Row],[Total Cost Per Serving (N+P)/I]]*Table14[[#This Row],[Estimated Servings Annual]]</f>
        <v>#DIV/0!</v>
      </c>
    </row>
    <row r="6" spans="1:23" x14ac:dyDescent="0.25">
      <c r="A6" s="79" t="s">
        <v>27</v>
      </c>
      <c r="B6" s="81" t="s">
        <v>100</v>
      </c>
      <c r="C6" s="74" t="s">
        <v>109</v>
      </c>
      <c r="D6" s="75"/>
      <c r="E6" s="75"/>
      <c r="F6" s="75"/>
      <c r="G6" s="75"/>
      <c r="H6" s="75"/>
      <c r="I6" s="75"/>
      <c r="J6" s="86">
        <v>440000</v>
      </c>
      <c r="K6" s="75"/>
      <c r="L6" s="75"/>
      <c r="M6" s="75"/>
      <c r="N6" s="75"/>
      <c r="O6" s="75"/>
      <c r="P6" s="75"/>
      <c r="Q6" s="99"/>
      <c r="R6" s="105">
        <f>(Table14[[#This Row],[Commercial Bid Price per case for NOI ($)]]-Table14[[#This Row],[Pass-Thru Value per case ($)]])+Table14[[#This Row],[Region 1: Fixed Fee Per Case ($)]]</f>
        <v>0</v>
      </c>
      <c r="S6" s="19" t="e">
        <f>(Table14[[#This Row],[Commercial Bid Price per case for NOI ($)]]+Table14[[#This Row],[Region 1: Fixed Fee Per Case ($)]])/Table14[[#This Row],['# of CN Servings per case]]</f>
        <v>#DIV/0!</v>
      </c>
      <c r="T6" s="20" t="e">
        <f>Table14[[#This Row],[Total Cost Per Serving (N+O)/I]]*Table14[[#This Row],[Estimated Servings Annual]]</f>
        <v>#DIV/0!</v>
      </c>
      <c r="U6" s="105">
        <f>(Table14[[#This Row],[Commercial Bid Price per case for NOI ($)]]-Table14[[#This Row],[Pass-Thru Value per case ($)]])+Table14[[#This Row],[Region 2: Fixed Fee Per Case ($)]]</f>
        <v>0</v>
      </c>
      <c r="V6" s="19" t="e">
        <f>(Table14[[#This Row],[Commercial Bid Price per case for NOI ($)]]+Table14[[#This Row],[Region 2: Fixed Fee Per Case ($)]])/Table14[[#This Row],['# of CN Servings per case]]</f>
        <v>#DIV/0!</v>
      </c>
      <c r="W6" s="20" t="e">
        <f>Table14[[#This Row],[Total Cost Per Serving (N+P)/I]]*Table14[[#This Row],[Estimated Servings Annual]]</f>
        <v>#DIV/0!</v>
      </c>
    </row>
    <row r="7" spans="1:23" x14ac:dyDescent="0.25">
      <c r="A7" s="79" t="s">
        <v>27</v>
      </c>
      <c r="B7" s="81" t="s">
        <v>100</v>
      </c>
      <c r="C7" s="75" t="s">
        <v>13</v>
      </c>
      <c r="D7" s="75"/>
      <c r="E7" s="75"/>
      <c r="F7" s="75"/>
      <c r="G7" s="75"/>
      <c r="H7" s="75"/>
      <c r="I7" s="75"/>
      <c r="J7" s="86">
        <v>440000</v>
      </c>
      <c r="K7" s="75"/>
      <c r="L7" s="75"/>
      <c r="M7" s="75"/>
      <c r="N7" s="75"/>
      <c r="O7" s="75"/>
      <c r="P7" s="75"/>
      <c r="Q7" s="99"/>
      <c r="R7" s="105">
        <f>(Table14[[#This Row],[Commercial Bid Price per case for NOI ($)]]-Table14[[#This Row],[Pass-Thru Value per case ($)]])+Table14[[#This Row],[Region 1: Fixed Fee Per Case ($)]]</f>
        <v>0</v>
      </c>
      <c r="S7" s="19" t="e">
        <f>(Table14[[#This Row],[Commercial Bid Price per case for NOI ($)]]+Table14[[#This Row],[Region 1: Fixed Fee Per Case ($)]])/Table14[[#This Row],['# of CN Servings per case]]</f>
        <v>#DIV/0!</v>
      </c>
      <c r="T7" s="20" t="e">
        <f>Table14[[#This Row],[Total Cost Per Serving (N+O)/I]]*Table14[[#This Row],[Estimated Servings Annual]]</f>
        <v>#DIV/0!</v>
      </c>
      <c r="U7" s="105">
        <f>(Table14[[#This Row],[Commercial Bid Price per case for NOI ($)]]-Table14[[#This Row],[Pass-Thru Value per case ($)]])+Table14[[#This Row],[Region 2: Fixed Fee Per Case ($)]]</f>
        <v>0</v>
      </c>
      <c r="V7" s="19" t="e">
        <f>(Table14[[#This Row],[Commercial Bid Price per case for NOI ($)]]+Table14[[#This Row],[Region 2: Fixed Fee Per Case ($)]])/Table14[[#This Row],['# of CN Servings per case]]</f>
        <v>#DIV/0!</v>
      </c>
      <c r="W7" s="20" t="e">
        <f>Table14[[#This Row],[Total Cost Per Serving (N+P)/I]]*Table14[[#This Row],[Estimated Servings Annual]]</f>
        <v>#DIV/0!</v>
      </c>
    </row>
    <row r="8" spans="1:23" x14ac:dyDescent="0.25">
      <c r="A8" s="79" t="s">
        <v>27</v>
      </c>
      <c r="B8" s="81" t="s">
        <v>100</v>
      </c>
      <c r="C8" s="75" t="s">
        <v>13</v>
      </c>
      <c r="D8" s="75"/>
      <c r="E8" s="75"/>
      <c r="F8" s="75"/>
      <c r="G8" s="75"/>
      <c r="H8" s="75"/>
      <c r="I8" s="75"/>
      <c r="J8" s="86">
        <v>440000</v>
      </c>
      <c r="K8" s="75"/>
      <c r="L8" s="75"/>
      <c r="M8" s="75"/>
      <c r="N8" s="75"/>
      <c r="O8" s="75"/>
      <c r="P8" s="75"/>
      <c r="Q8" s="99"/>
      <c r="R8" s="105">
        <f>(Table14[[#This Row],[Commercial Bid Price per case for NOI ($)]]-Table14[[#This Row],[Pass-Thru Value per case ($)]])+Table14[[#This Row],[Region 1: Fixed Fee Per Case ($)]]</f>
        <v>0</v>
      </c>
      <c r="S8" s="19" t="e">
        <f>(Table14[[#This Row],[Commercial Bid Price per case for NOI ($)]]+Table14[[#This Row],[Region 1: Fixed Fee Per Case ($)]])/Table14[[#This Row],['# of CN Servings per case]]</f>
        <v>#DIV/0!</v>
      </c>
      <c r="T8" s="20" t="e">
        <f>Table14[[#This Row],[Total Cost Per Serving (N+O)/I]]*Table14[[#This Row],[Estimated Servings Annual]]</f>
        <v>#DIV/0!</v>
      </c>
      <c r="U8" s="105">
        <f>(Table14[[#This Row],[Commercial Bid Price per case for NOI ($)]]-Table14[[#This Row],[Pass-Thru Value per case ($)]])+Table14[[#This Row],[Region 2: Fixed Fee Per Case ($)]]</f>
        <v>0</v>
      </c>
      <c r="V8" s="19" t="e">
        <f>(Table14[[#This Row],[Commercial Bid Price per case for NOI ($)]]+Table14[[#This Row],[Region 2: Fixed Fee Per Case ($)]])/Table14[[#This Row],['# of CN Servings per case]]</f>
        <v>#DIV/0!</v>
      </c>
      <c r="W8" s="20" t="e">
        <f>Table14[[#This Row],[Total Cost Per Serving (N+P)/I]]*Table14[[#This Row],[Estimated Servings Annual]]</f>
        <v>#DIV/0!</v>
      </c>
    </row>
    <row r="9" spans="1:23" x14ac:dyDescent="0.25">
      <c r="A9" s="79" t="s">
        <v>27</v>
      </c>
      <c r="B9" s="81" t="s">
        <v>100</v>
      </c>
      <c r="C9" s="75" t="s">
        <v>13</v>
      </c>
      <c r="D9" s="75"/>
      <c r="E9" s="75"/>
      <c r="F9" s="75"/>
      <c r="G9" s="75"/>
      <c r="H9" s="75"/>
      <c r="I9" s="75"/>
      <c r="J9" s="86">
        <v>440000</v>
      </c>
      <c r="K9" s="75"/>
      <c r="L9" s="75"/>
      <c r="M9" s="75"/>
      <c r="N9" s="75"/>
      <c r="O9" s="75"/>
      <c r="P9" s="75"/>
      <c r="Q9" s="99"/>
      <c r="R9" s="105">
        <f>(Table14[[#This Row],[Commercial Bid Price per case for NOI ($)]]-Table14[[#This Row],[Pass-Thru Value per case ($)]])+Table14[[#This Row],[Region 1: Fixed Fee Per Case ($)]]</f>
        <v>0</v>
      </c>
      <c r="S9" s="19" t="e">
        <f>(Table14[[#This Row],[Commercial Bid Price per case for NOI ($)]]+Table14[[#This Row],[Region 1: Fixed Fee Per Case ($)]])/Table14[[#This Row],['# of CN Servings per case]]</f>
        <v>#DIV/0!</v>
      </c>
      <c r="T9" s="20" t="e">
        <f>Table14[[#This Row],[Total Cost Per Serving (N+O)/I]]*Table14[[#This Row],[Estimated Servings Annual]]</f>
        <v>#DIV/0!</v>
      </c>
      <c r="U9" s="105">
        <f>(Table14[[#This Row],[Commercial Bid Price per case for NOI ($)]]-Table14[[#This Row],[Pass-Thru Value per case ($)]])+Table14[[#This Row],[Region 2: Fixed Fee Per Case ($)]]</f>
        <v>0</v>
      </c>
      <c r="V9" s="19" t="e">
        <f>(Table14[[#This Row],[Commercial Bid Price per case for NOI ($)]]+Table14[[#This Row],[Region 2: Fixed Fee Per Case ($)]])/Table14[[#This Row],['# of CN Servings per case]]</f>
        <v>#DIV/0!</v>
      </c>
      <c r="W9" s="20" t="e">
        <f>Table14[[#This Row],[Total Cost Per Serving (N+P)/I]]*Table14[[#This Row],[Estimated Servings Annual]]</f>
        <v>#DIV/0!</v>
      </c>
    </row>
    <row r="10" spans="1:23" ht="15.75" thickBot="1" x14ac:dyDescent="0.3">
      <c r="A10" s="79" t="s">
        <v>27</v>
      </c>
      <c r="B10" s="82" t="s">
        <v>100</v>
      </c>
      <c r="C10" s="76" t="s">
        <v>13</v>
      </c>
      <c r="D10" s="76"/>
      <c r="E10" s="76"/>
      <c r="F10" s="76"/>
      <c r="G10" s="76"/>
      <c r="H10" s="76"/>
      <c r="I10" s="76"/>
      <c r="J10" s="87">
        <v>440000</v>
      </c>
      <c r="K10" s="76"/>
      <c r="L10" s="76"/>
      <c r="M10" s="76"/>
      <c r="N10" s="76"/>
      <c r="O10" s="76"/>
      <c r="P10" s="76"/>
      <c r="Q10" s="100"/>
      <c r="R10" s="106">
        <f>(Table14[[#This Row],[Commercial Bid Price per case for NOI ($)]]-Table14[[#This Row],[Pass-Thru Value per case ($)]])+Table14[[#This Row],[Region 1: Fixed Fee Per Case ($)]]</f>
        <v>0</v>
      </c>
      <c r="S10" s="22" t="e">
        <f>(Table14[[#This Row],[Commercial Bid Price per case for NOI ($)]]+Table14[[#This Row],[Region 1: Fixed Fee Per Case ($)]])/Table14[[#This Row],['# of CN Servings per case]]</f>
        <v>#DIV/0!</v>
      </c>
      <c r="T10" s="23" t="e">
        <f>Table14[[#This Row],[Total Cost Per Serving (N+O)/I]]*Table14[[#This Row],[Estimated Servings Annual]]</f>
        <v>#DIV/0!</v>
      </c>
      <c r="U10" s="106">
        <f>(Table14[[#This Row],[Commercial Bid Price per case for NOI ($)]]-Table14[[#This Row],[Pass-Thru Value per case ($)]])+Table14[[#This Row],[Region 2: Fixed Fee Per Case ($)]]</f>
        <v>0</v>
      </c>
      <c r="V10" s="22" t="e">
        <f>(Table14[[#This Row],[Commercial Bid Price per case for NOI ($)]]+Table14[[#This Row],[Region 2: Fixed Fee Per Case ($)]])/Table14[[#This Row],['# of CN Servings per case]]</f>
        <v>#DIV/0!</v>
      </c>
      <c r="W10" s="23" t="e">
        <f>Table14[[#This Row],[Total Cost Per Serving (N+P)/I]]*Table14[[#This Row],[Estimated Servings Annual]]</f>
        <v>#DIV/0!</v>
      </c>
    </row>
    <row r="11" spans="1:23" x14ac:dyDescent="0.25">
      <c r="A11" s="79" t="s">
        <v>27</v>
      </c>
      <c r="B11" s="80" t="s">
        <v>101</v>
      </c>
      <c r="C11" s="72" t="s">
        <v>151</v>
      </c>
      <c r="D11" s="73"/>
      <c r="E11" s="73"/>
      <c r="F11" s="73"/>
      <c r="G11" s="73"/>
      <c r="H11" s="73"/>
      <c r="I11" s="73"/>
      <c r="J11" s="85">
        <v>1300000</v>
      </c>
      <c r="K11" s="73"/>
      <c r="L11" s="73"/>
      <c r="M11" s="73"/>
      <c r="N11" s="73"/>
      <c r="O11" s="73"/>
      <c r="P11" s="73"/>
      <c r="Q11" s="98"/>
      <c r="R11" s="104">
        <f>(Table14[[#This Row],[Commercial Bid Price per case for NOI ($)]]-Table14[[#This Row],[Pass-Thru Value per case ($)]])+Table14[[#This Row],[Region 1: Fixed Fee Per Case ($)]]</f>
        <v>0</v>
      </c>
      <c r="S11" s="16" t="e">
        <f>(Table14[[#This Row],[Commercial Bid Price per case for NOI ($)]]+Table14[[#This Row],[Region 1: Fixed Fee Per Case ($)]])/Table14[[#This Row],['# of CN Servings per case]]</f>
        <v>#DIV/0!</v>
      </c>
      <c r="T11" s="17" t="e">
        <f>Table14[[#This Row],[Total Cost Per Serving (N+O)/I]]*Table14[[#This Row],[Estimated Servings Annual]]</f>
        <v>#DIV/0!</v>
      </c>
      <c r="U11" s="104">
        <f>(Table14[[#This Row],[Commercial Bid Price per case for NOI ($)]]-Table14[[#This Row],[Pass-Thru Value per case ($)]])+Table14[[#This Row],[Region 2: Fixed Fee Per Case ($)]]</f>
        <v>0</v>
      </c>
      <c r="V11" s="16" t="e">
        <f>(Table14[[#This Row],[Commercial Bid Price per case for NOI ($)]]+Table14[[#This Row],[Region 2: Fixed Fee Per Case ($)]])/Table14[[#This Row],['# of CN Servings per case]]</f>
        <v>#DIV/0!</v>
      </c>
      <c r="W11" s="17" t="e">
        <f>Table14[[#This Row],[Total Cost Per Serving (N+P)/I]]*Table14[[#This Row],[Estimated Servings Annual]]</f>
        <v>#DIV/0!</v>
      </c>
    </row>
    <row r="12" spans="1:23" x14ac:dyDescent="0.25">
      <c r="A12" s="79" t="s">
        <v>27</v>
      </c>
      <c r="B12" s="81" t="s">
        <v>101</v>
      </c>
      <c r="C12" s="74" t="s">
        <v>151</v>
      </c>
      <c r="D12" s="75"/>
      <c r="E12" s="75"/>
      <c r="F12" s="75"/>
      <c r="G12" s="75"/>
      <c r="H12" s="75"/>
      <c r="I12" s="75"/>
      <c r="J12" s="86">
        <v>1300000</v>
      </c>
      <c r="K12" s="75"/>
      <c r="L12" s="75"/>
      <c r="M12" s="75"/>
      <c r="N12" s="75"/>
      <c r="O12" s="75"/>
      <c r="P12" s="75"/>
      <c r="Q12" s="99"/>
      <c r="R12" s="105">
        <f>(Table14[[#This Row],[Commercial Bid Price per case for NOI ($)]]-Table14[[#This Row],[Pass-Thru Value per case ($)]])+Table14[[#This Row],[Region 1: Fixed Fee Per Case ($)]]</f>
        <v>0</v>
      </c>
      <c r="S12" s="19" t="e">
        <f>(Table14[[#This Row],[Commercial Bid Price per case for NOI ($)]]+Table14[[#This Row],[Region 1: Fixed Fee Per Case ($)]])/Table14[[#This Row],['# of CN Servings per case]]</f>
        <v>#DIV/0!</v>
      </c>
      <c r="T12" s="20" t="e">
        <f>Table14[[#This Row],[Total Cost Per Serving (N+O)/I]]*Table14[[#This Row],[Estimated Servings Annual]]</f>
        <v>#DIV/0!</v>
      </c>
      <c r="U12" s="105">
        <f>(Table14[[#This Row],[Commercial Bid Price per case for NOI ($)]]-Table14[[#This Row],[Pass-Thru Value per case ($)]])+Table14[[#This Row],[Region 2: Fixed Fee Per Case ($)]]</f>
        <v>0</v>
      </c>
      <c r="V12" s="19" t="e">
        <f>(Table14[[#This Row],[Commercial Bid Price per case for NOI ($)]]+Table14[[#This Row],[Region 2: Fixed Fee Per Case ($)]])/Table14[[#This Row],['# of CN Servings per case]]</f>
        <v>#DIV/0!</v>
      </c>
      <c r="W12" s="20" t="e">
        <f>Table14[[#This Row],[Total Cost Per Serving (N+P)/I]]*Table14[[#This Row],[Estimated Servings Annual]]</f>
        <v>#DIV/0!</v>
      </c>
    </row>
    <row r="13" spans="1:23" x14ac:dyDescent="0.25">
      <c r="A13" s="79" t="s">
        <v>27</v>
      </c>
      <c r="B13" s="81" t="s">
        <v>101</v>
      </c>
      <c r="C13" s="74" t="s">
        <v>109</v>
      </c>
      <c r="D13" s="75"/>
      <c r="E13" s="75"/>
      <c r="F13" s="75"/>
      <c r="G13" s="75"/>
      <c r="H13" s="75"/>
      <c r="I13" s="75"/>
      <c r="J13" s="86">
        <v>1300000</v>
      </c>
      <c r="K13" s="75"/>
      <c r="L13" s="75"/>
      <c r="M13" s="75"/>
      <c r="N13" s="75"/>
      <c r="O13" s="75"/>
      <c r="P13" s="75"/>
      <c r="Q13" s="99"/>
      <c r="R13" s="105">
        <f>(Table14[[#This Row],[Commercial Bid Price per case for NOI ($)]]-Table14[[#This Row],[Pass-Thru Value per case ($)]])+Table14[[#This Row],[Region 1: Fixed Fee Per Case ($)]]</f>
        <v>0</v>
      </c>
      <c r="S13" s="19" t="e">
        <f>(Table14[[#This Row],[Commercial Bid Price per case for NOI ($)]]+Table14[[#This Row],[Region 1: Fixed Fee Per Case ($)]])/Table14[[#This Row],['# of CN Servings per case]]</f>
        <v>#DIV/0!</v>
      </c>
      <c r="T13" s="20" t="e">
        <f>Table14[[#This Row],[Total Cost Per Serving (N+O)/I]]*Table14[[#This Row],[Estimated Servings Annual]]</f>
        <v>#DIV/0!</v>
      </c>
      <c r="U13" s="105">
        <f>(Table14[[#This Row],[Commercial Bid Price per case for NOI ($)]]-Table14[[#This Row],[Pass-Thru Value per case ($)]])+Table14[[#This Row],[Region 2: Fixed Fee Per Case ($)]]</f>
        <v>0</v>
      </c>
      <c r="V13" s="19" t="e">
        <f>(Table14[[#This Row],[Commercial Bid Price per case for NOI ($)]]+Table14[[#This Row],[Region 2: Fixed Fee Per Case ($)]])/Table14[[#This Row],['# of CN Servings per case]]</f>
        <v>#DIV/0!</v>
      </c>
      <c r="W13" s="20" t="e">
        <f>Table14[[#This Row],[Total Cost Per Serving (N+P)/I]]*Table14[[#This Row],[Estimated Servings Annual]]</f>
        <v>#DIV/0!</v>
      </c>
    </row>
    <row r="14" spans="1:23" x14ac:dyDescent="0.25">
      <c r="A14" s="79" t="s">
        <v>27</v>
      </c>
      <c r="B14" s="81" t="s">
        <v>101</v>
      </c>
      <c r="C14" s="74" t="s">
        <v>109</v>
      </c>
      <c r="D14" s="75"/>
      <c r="E14" s="75"/>
      <c r="F14" s="75"/>
      <c r="G14" s="75"/>
      <c r="H14" s="75"/>
      <c r="I14" s="75"/>
      <c r="J14" s="86">
        <v>1300000</v>
      </c>
      <c r="K14" s="75"/>
      <c r="L14" s="75"/>
      <c r="M14" s="75"/>
      <c r="N14" s="75"/>
      <c r="O14" s="75"/>
      <c r="P14" s="75"/>
      <c r="Q14" s="99"/>
      <c r="R14" s="105">
        <f>(Table14[[#This Row],[Commercial Bid Price per case for NOI ($)]]-Table14[[#This Row],[Pass-Thru Value per case ($)]])+Table14[[#This Row],[Region 1: Fixed Fee Per Case ($)]]</f>
        <v>0</v>
      </c>
      <c r="S14" s="19" t="e">
        <f>(Table14[[#This Row],[Commercial Bid Price per case for NOI ($)]]+Table14[[#This Row],[Region 1: Fixed Fee Per Case ($)]])/Table14[[#This Row],['# of CN Servings per case]]</f>
        <v>#DIV/0!</v>
      </c>
      <c r="T14" s="20" t="e">
        <f>Table14[[#This Row],[Total Cost Per Serving (N+O)/I]]*Table14[[#This Row],[Estimated Servings Annual]]</f>
        <v>#DIV/0!</v>
      </c>
      <c r="U14" s="105">
        <f>(Table14[[#This Row],[Commercial Bid Price per case for NOI ($)]]-Table14[[#This Row],[Pass-Thru Value per case ($)]])+Table14[[#This Row],[Region 2: Fixed Fee Per Case ($)]]</f>
        <v>0</v>
      </c>
      <c r="V14" s="19" t="e">
        <f>(Table14[[#This Row],[Commercial Bid Price per case for NOI ($)]]+Table14[[#This Row],[Region 2: Fixed Fee Per Case ($)]])/Table14[[#This Row],['# of CN Servings per case]]</f>
        <v>#DIV/0!</v>
      </c>
      <c r="W14" s="20" t="e">
        <f>Table14[[#This Row],[Total Cost Per Serving (N+P)/I]]*Table14[[#This Row],[Estimated Servings Annual]]</f>
        <v>#DIV/0!</v>
      </c>
    </row>
    <row r="15" spans="1:23" x14ac:dyDescent="0.25">
      <c r="A15" s="79" t="s">
        <v>27</v>
      </c>
      <c r="B15" s="81" t="s">
        <v>101</v>
      </c>
      <c r="C15" s="75" t="s">
        <v>13</v>
      </c>
      <c r="D15" s="75"/>
      <c r="E15" s="75"/>
      <c r="F15" s="75"/>
      <c r="G15" s="75"/>
      <c r="H15" s="75"/>
      <c r="I15" s="75"/>
      <c r="J15" s="86">
        <v>1300000</v>
      </c>
      <c r="K15" s="75"/>
      <c r="L15" s="75"/>
      <c r="M15" s="75"/>
      <c r="N15" s="75"/>
      <c r="O15" s="75"/>
      <c r="P15" s="75"/>
      <c r="Q15" s="99"/>
      <c r="R15" s="105">
        <f>(Table14[[#This Row],[Commercial Bid Price per case for NOI ($)]]-Table14[[#This Row],[Pass-Thru Value per case ($)]])+Table14[[#This Row],[Region 1: Fixed Fee Per Case ($)]]</f>
        <v>0</v>
      </c>
      <c r="S15" s="19" t="e">
        <f>(Table14[[#This Row],[Commercial Bid Price per case for NOI ($)]]+Table14[[#This Row],[Region 1: Fixed Fee Per Case ($)]])/Table14[[#This Row],['# of CN Servings per case]]</f>
        <v>#DIV/0!</v>
      </c>
      <c r="T15" s="20" t="e">
        <f>Table14[[#This Row],[Total Cost Per Serving (N+O)/I]]*Table14[[#This Row],[Estimated Servings Annual]]</f>
        <v>#DIV/0!</v>
      </c>
      <c r="U15" s="105">
        <f>(Table14[[#This Row],[Commercial Bid Price per case for NOI ($)]]-Table14[[#This Row],[Pass-Thru Value per case ($)]])+Table14[[#This Row],[Region 2: Fixed Fee Per Case ($)]]</f>
        <v>0</v>
      </c>
      <c r="V15" s="19" t="e">
        <f>(Table14[[#This Row],[Commercial Bid Price per case for NOI ($)]]+Table14[[#This Row],[Region 2: Fixed Fee Per Case ($)]])/Table14[[#This Row],['# of CN Servings per case]]</f>
        <v>#DIV/0!</v>
      </c>
      <c r="W15" s="20" t="e">
        <f>Table14[[#This Row],[Total Cost Per Serving (N+P)/I]]*Table14[[#This Row],[Estimated Servings Annual]]</f>
        <v>#DIV/0!</v>
      </c>
    </row>
    <row r="16" spans="1:23" x14ac:dyDescent="0.25">
      <c r="A16" s="79" t="s">
        <v>27</v>
      </c>
      <c r="B16" s="81" t="s">
        <v>101</v>
      </c>
      <c r="C16" s="75" t="s">
        <v>13</v>
      </c>
      <c r="D16" s="75"/>
      <c r="E16" s="75"/>
      <c r="F16" s="75"/>
      <c r="G16" s="75"/>
      <c r="H16" s="75"/>
      <c r="I16" s="75"/>
      <c r="J16" s="86">
        <v>1300000</v>
      </c>
      <c r="K16" s="75"/>
      <c r="L16" s="75"/>
      <c r="M16" s="75"/>
      <c r="N16" s="75"/>
      <c r="O16" s="75"/>
      <c r="P16" s="75"/>
      <c r="Q16" s="99"/>
      <c r="R16" s="105">
        <f>(Table14[[#This Row],[Commercial Bid Price per case for NOI ($)]]-Table14[[#This Row],[Pass-Thru Value per case ($)]])+Table14[[#This Row],[Region 1: Fixed Fee Per Case ($)]]</f>
        <v>0</v>
      </c>
      <c r="S16" s="19" t="e">
        <f>(Table14[[#This Row],[Commercial Bid Price per case for NOI ($)]]+Table14[[#This Row],[Region 1: Fixed Fee Per Case ($)]])/Table14[[#This Row],['# of CN Servings per case]]</f>
        <v>#DIV/0!</v>
      </c>
      <c r="T16" s="20" t="e">
        <f>Table14[[#This Row],[Total Cost Per Serving (N+O)/I]]*Table14[[#This Row],[Estimated Servings Annual]]</f>
        <v>#DIV/0!</v>
      </c>
      <c r="U16" s="105">
        <f>(Table14[[#This Row],[Commercial Bid Price per case for NOI ($)]]-Table14[[#This Row],[Pass-Thru Value per case ($)]])+Table14[[#This Row],[Region 2: Fixed Fee Per Case ($)]]</f>
        <v>0</v>
      </c>
      <c r="V16" s="19" t="e">
        <f>(Table14[[#This Row],[Commercial Bid Price per case for NOI ($)]]+Table14[[#This Row],[Region 2: Fixed Fee Per Case ($)]])/Table14[[#This Row],['# of CN Servings per case]]</f>
        <v>#DIV/0!</v>
      </c>
      <c r="W16" s="20" t="e">
        <f>Table14[[#This Row],[Total Cost Per Serving (N+P)/I]]*Table14[[#This Row],[Estimated Servings Annual]]</f>
        <v>#DIV/0!</v>
      </c>
    </row>
    <row r="17" spans="1:23" x14ac:dyDescent="0.25">
      <c r="A17" s="79" t="s">
        <v>27</v>
      </c>
      <c r="B17" s="81" t="s">
        <v>101</v>
      </c>
      <c r="C17" s="75" t="s">
        <v>13</v>
      </c>
      <c r="D17" s="75"/>
      <c r="E17" s="75"/>
      <c r="F17" s="75"/>
      <c r="G17" s="75"/>
      <c r="H17" s="75"/>
      <c r="I17" s="75"/>
      <c r="J17" s="86">
        <v>1300000</v>
      </c>
      <c r="K17" s="75"/>
      <c r="L17" s="75"/>
      <c r="M17" s="75"/>
      <c r="N17" s="75"/>
      <c r="O17" s="75"/>
      <c r="P17" s="75"/>
      <c r="Q17" s="99"/>
      <c r="R17" s="105">
        <f>(Table14[[#This Row],[Commercial Bid Price per case for NOI ($)]]-Table14[[#This Row],[Pass-Thru Value per case ($)]])+Table14[[#This Row],[Region 1: Fixed Fee Per Case ($)]]</f>
        <v>0</v>
      </c>
      <c r="S17" s="19" t="e">
        <f>(Table14[[#This Row],[Commercial Bid Price per case for NOI ($)]]+Table14[[#This Row],[Region 1: Fixed Fee Per Case ($)]])/Table14[[#This Row],['# of CN Servings per case]]</f>
        <v>#DIV/0!</v>
      </c>
      <c r="T17" s="20" t="e">
        <f>Table14[[#This Row],[Total Cost Per Serving (N+O)/I]]*Table14[[#This Row],[Estimated Servings Annual]]</f>
        <v>#DIV/0!</v>
      </c>
      <c r="U17" s="105">
        <f>(Table14[[#This Row],[Commercial Bid Price per case for NOI ($)]]-Table14[[#This Row],[Pass-Thru Value per case ($)]])+Table14[[#This Row],[Region 2: Fixed Fee Per Case ($)]]</f>
        <v>0</v>
      </c>
      <c r="V17" s="19" t="e">
        <f>(Table14[[#This Row],[Commercial Bid Price per case for NOI ($)]]+Table14[[#This Row],[Region 2: Fixed Fee Per Case ($)]])/Table14[[#This Row],['# of CN Servings per case]]</f>
        <v>#DIV/0!</v>
      </c>
      <c r="W17" s="20" t="e">
        <f>Table14[[#This Row],[Total Cost Per Serving (N+P)/I]]*Table14[[#This Row],[Estimated Servings Annual]]</f>
        <v>#DIV/0!</v>
      </c>
    </row>
    <row r="18" spans="1:23" ht="15.75" thickBot="1" x14ac:dyDescent="0.3">
      <c r="A18" s="79" t="s">
        <v>27</v>
      </c>
      <c r="B18" s="82" t="s">
        <v>101</v>
      </c>
      <c r="C18" s="76" t="s">
        <v>13</v>
      </c>
      <c r="D18" s="76"/>
      <c r="E18" s="76"/>
      <c r="F18" s="76"/>
      <c r="G18" s="76"/>
      <c r="H18" s="76"/>
      <c r="I18" s="76"/>
      <c r="J18" s="87">
        <v>1300000</v>
      </c>
      <c r="K18" s="76"/>
      <c r="L18" s="76"/>
      <c r="M18" s="76"/>
      <c r="N18" s="76"/>
      <c r="O18" s="76"/>
      <c r="P18" s="76"/>
      <c r="Q18" s="100"/>
      <c r="R18" s="106">
        <f>(Table14[[#This Row],[Commercial Bid Price per case for NOI ($)]]-Table14[[#This Row],[Pass-Thru Value per case ($)]])+Table14[[#This Row],[Region 1: Fixed Fee Per Case ($)]]</f>
        <v>0</v>
      </c>
      <c r="S18" s="22" t="e">
        <f>(Table14[[#This Row],[Commercial Bid Price per case for NOI ($)]]+Table14[[#This Row],[Region 1: Fixed Fee Per Case ($)]])/Table14[[#This Row],['# of CN Servings per case]]</f>
        <v>#DIV/0!</v>
      </c>
      <c r="T18" s="23" t="e">
        <f>Table14[[#This Row],[Total Cost Per Serving (N+O)/I]]*Table14[[#This Row],[Estimated Servings Annual]]</f>
        <v>#DIV/0!</v>
      </c>
      <c r="U18" s="106">
        <f>(Table14[[#This Row],[Commercial Bid Price per case for NOI ($)]]-Table14[[#This Row],[Pass-Thru Value per case ($)]])+Table14[[#This Row],[Region 2: Fixed Fee Per Case ($)]]</f>
        <v>0</v>
      </c>
      <c r="V18" s="22" t="e">
        <f>(Table14[[#This Row],[Commercial Bid Price per case for NOI ($)]]+Table14[[#This Row],[Region 2: Fixed Fee Per Case ($)]])/Table14[[#This Row],['# of CN Servings per case]]</f>
        <v>#DIV/0!</v>
      </c>
      <c r="W18" s="23" t="e">
        <f>Table14[[#This Row],[Total Cost Per Serving (N+P)/I]]*Table14[[#This Row],[Estimated Servings Annual]]</f>
        <v>#DIV/0!</v>
      </c>
    </row>
    <row r="19" spans="1:23" x14ac:dyDescent="0.25">
      <c r="A19" s="79" t="s">
        <v>27</v>
      </c>
      <c r="B19" s="80" t="s">
        <v>102</v>
      </c>
      <c r="C19" s="72" t="s">
        <v>151</v>
      </c>
      <c r="D19" s="73"/>
      <c r="E19" s="73"/>
      <c r="F19" s="73"/>
      <c r="G19" s="73"/>
      <c r="H19" s="73"/>
      <c r="I19" s="73"/>
      <c r="J19" s="85">
        <v>1350000</v>
      </c>
      <c r="K19" s="73"/>
      <c r="L19" s="73"/>
      <c r="M19" s="73"/>
      <c r="N19" s="73"/>
      <c r="O19" s="73"/>
      <c r="P19" s="73"/>
      <c r="Q19" s="98"/>
      <c r="R19" s="104">
        <f>(Table14[[#This Row],[Commercial Bid Price per case for NOI ($)]]-Table14[[#This Row],[Pass-Thru Value per case ($)]])+Table14[[#This Row],[Region 1: Fixed Fee Per Case ($)]]</f>
        <v>0</v>
      </c>
      <c r="S19" s="16" t="e">
        <f>(Table14[[#This Row],[Commercial Bid Price per case for NOI ($)]]+Table14[[#This Row],[Region 1: Fixed Fee Per Case ($)]])/Table14[[#This Row],['# of CN Servings per case]]</f>
        <v>#DIV/0!</v>
      </c>
      <c r="T19" s="17" t="e">
        <f>Table14[[#This Row],[Total Cost Per Serving (N+O)/I]]*Table14[[#This Row],[Estimated Servings Annual]]</f>
        <v>#DIV/0!</v>
      </c>
      <c r="U19" s="104">
        <f>(Table14[[#This Row],[Commercial Bid Price per case for NOI ($)]]-Table14[[#This Row],[Pass-Thru Value per case ($)]])+Table14[[#This Row],[Region 2: Fixed Fee Per Case ($)]]</f>
        <v>0</v>
      </c>
      <c r="V19" s="16" t="e">
        <f>(Table14[[#This Row],[Commercial Bid Price per case for NOI ($)]]+Table14[[#This Row],[Region 2: Fixed Fee Per Case ($)]])/Table14[[#This Row],['# of CN Servings per case]]</f>
        <v>#DIV/0!</v>
      </c>
      <c r="W19" s="17" t="e">
        <f>Table14[[#This Row],[Total Cost Per Serving (N+P)/I]]*Table14[[#This Row],[Estimated Servings Annual]]</f>
        <v>#DIV/0!</v>
      </c>
    </row>
    <row r="20" spans="1:23" x14ac:dyDescent="0.25">
      <c r="A20" s="79" t="s">
        <v>27</v>
      </c>
      <c r="B20" s="81" t="s">
        <v>102</v>
      </c>
      <c r="C20" s="74" t="s">
        <v>151</v>
      </c>
      <c r="D20" s="75"/>
      <c r="E20" s="75"/>
      <c r="F20" s="75"/>
      <c r="G20" s="75"/>
      <c r="H20" s="75"/>
      <c r="I20" s="75"/>
      <c r="J20" s="86">
        <v>1350000</v>
      </c>
      <c r="K20" s="75"/>
      <c r="L20" s="75"/>
      <c r="M20" s="75"/>
      <c r="N20" s="75"/>
      <c r="O20" s="75"/>
      <c r="P20" s="75"/>
      <c r="Q20" s="99"/>
      <c r="R20" s="105">
        <f>(Table14[[#This Row],[Commercial Bid Price per case for NOI ($)]]-Table14[[#This Row],[Pass-Thru Value per case ($)]])+Table14[[#This Row],[Region 1: Fixed Fee Per Case ($)]]</f>
        <v>0</v>
      </c>
      <c r="S20" s="19" t="e">
        <f>(Table14[[#This Row],[Commercial Bid Price per case for NOI ($)]]+Table14[[#This Row],[Region 1: Fixed Fee Per Case ($)]])/Table14[[#This Row],['# of CN Servings per case]]</f>
        <v>#DIV/0!</v>
      </c>
      <c r="T20" s="20" t="e">
        <f>Table14[[#This Row],[Total Cost Per Serving (N+O)/I]]*Table14[[#This Row],[Estimated Servings Annual]]</f>
        <v>#DIV/0!</v>
      </c>
      <c r="U20" s="105">
        <f>(Table14[[#This Row],[Commercial Bid Price per case for NOI ($)]]-Table14[[#This Row],[Pass-Thru Value per case ($)]])+Table14[[#This Row],[Region 2: Fixed Fee Per Case ($)]]</f>
        <v>0</v>
      </c>
      <c r="V20" s="19" t="e">
        <f>(Table14[[#This Row],[Commercial Bid Price per case for NOI ($)]]+Table14[[#This Row],[Region 2: Fixed Fee Per Case ($)]])/Table14[[#This Row],['# of CN Servings per case]]</f>
        <v>#DIV/0!</v>
      </c>
      <c r="W20" s="20" t="e">
        <f>Table14[[#This Row],[Total Cost Per Serving (N+P)/I]]*Table14[[#This Row],[Estimated Servings Annual]]</f>
        <v>#DIV/0!</v>
      </c>
    </row>
    <row r="21" spans="1:23" x14ac:dyDescent="0.25">
      <c r="A21" s="79" t="s">
        <v>27</v>
      </c>
      <c r="B21" s="81" t="s">
        <v>102</v>
      </c>
      <c r="C21" s="74" t="s">
        <v>109</v>
      </c>
      <c r="D21" s="75"/>
      <c r="E21" s="75"/>
      <c r="F21" s="75"/>
      <c r="G21" s="75"/>
      <c r="H21" s="75"/>
      <c r="I21" s="75"/>
      <c r="J21" s="86">
        <v>1350000</v>
      </c>
      <c r="K21" s="75"/>
      <c r="L21" s="75"/>
      <c r="M21" s="75"/>
      <c r="N21" s="75"/>
      <c r="O21" s="75"/>
      <c r="P21" s="75"/>
      <c r="Q21" s="99"/>
      <c r="R21" s="105">
        <f>(Table14[[#This Row],[Commercial Bid Price per case for NOI ($)]]-Table14[[#This Row],[Pass-Thru Value per case ($)]])+Table14[[#This Row],[Region 1: Fixed Fee Per Case ($)]]</f>
        <v>0</v>
      </c>
      <c r="S21" s="19" t="e">
        <f>(Table14[[#This Row],[Commercial Bid Price per case for NOI ($)]]+Table14[[#This Row],[Region 1: Fixed Fee Per Case ($)]])/Table14[[#This Row],['# of CN Servings per case]]</f>
        <v>#DIV/0!</v>
      </c>
      <c r="T21" s="20" t="e">
        <f>Table14[[#This Row],[Total Cost Per Serving (N+O)/I]]*Table14[[#This Row],[Estimated Servings Annual]]</f>
        <v>#DIV/0!</v>
      </c>
      <c r="U21" s="105">
        <f>(Table14[[#This Row],[Commercial Bid Price per case for NOI ($)]]-Table14[[#This Row],[Pass-Thru Value per case ($)]])+Table14[[#This Row],[Region 2: Fixed Fee Per Case ($)]]</f>
        <v>0</v>
      </c>
      <c r="V21" s="19" t="e">
        <f>(Table14[[#This Row],[Commercial Bid Price per case for NOI ($)]]+Table14[[#This Row],[Region 2: Fixed Fee Per Case ($)]])/Table14[[#This Row],['# of CN Servings per case]]</f>
        <v>#DIV/0!</v>
      </c>
      <c r="W21" s="20" t="e">
        <f>Table14[[#This Row],[Total Cost Per Serving (N+P)/I]]*Table14[[#This Row],[Estimated Servings Annual]]</f>
        <v>#DIV/0!</v>
      </c>
    </row>
    <row r="22" spans="1:23" x14ac:dyDescent="0.25">
      <c r="A22" s="79" t="s">
        <v>27</v>
      </c>
      <c r="B22" s="81" t="s">
        <v>102</v>
      </c>
      <c r="C22" s="74" t="s">
        <v>109</v>
      </c>
      <c r="D22" s="75"/>
      <c r="E22" s="75"/>
      <c r="F22" s="75"/>
      <c r="G22" s="75"/>
      <c r="H22" s="75"/>
      <c r="I22" s="75"/>
      <c r="J22" s="86">
        <v>1350000</v>
      </c>
      <c r="K22" s="75"/>
      <c r="L22" s="75"/>
      <c r="M22" s="75"/>
      <c r="N22" s="75"/>
      <c r="O22" s="75"/>
      <c r="P22" s="75"/>
      <c r="Q22" s="99"/>
      <c r="R22" s="105">
        <f>(Table14[[#This Row],[Commercial Bid Price per case for NOI ($)]]-Table14[[#This Row],[Pass-Thru Value per case ($)]])+Table14[[#This Row],[Region 1: Fixed Fee Per Case ($)]]</f>
        <v>0</v>
      </c>
      <c r="S22" s="19" t="e">
        <f>(Table14[[#This Row],[Commercial Bid Price per case for NOI ($)]]+Table14[[#This Row],[Region 1: Fixed Fee Per Case ($)]])/Table14[[#This Row],['# of CN Servings per case]]</f>
        <v>#DIV/0!</v>
      </c>
      <c r="T22" s="20" t="e">
        <f>Table14[[#This Row],[Total Cost Per Serving (N+O)/I]]*Table14[[#This Row],[Estimated Servings Annual]]</f>
        <v>#DIV/0!</v>
      </c>
      <c r="U22" s="105">
        <f>(Table14[[#This Row],[Commercial Bid Price per case for NOI ($)]]-Table14[[#This Row],[Pass-Thru Value per case ($)]])+Table14[[#This Row],[Region 2: Fixed Fee Per Case ($)]]</f>
        <v>0</v>
      </c>
      <c r="V22" s="19" t="e">
        <f>(Table14[[#This Row],[Commercial Bid Price per case for NOI ($)]]+Table14[[#This Row],[Region 2: Fixed Fee Per Case ($)]])/Table14[[#This Row],['# of CN Servings per case]]</f>
        <v>#DIV/0!</v>
      </c>
      <c r="W22" s="20" t="e">
        <f>Table14[[#This Row],[Total Cost Per Serving (N+P)/I]]*Table14[[#This Row],[Estimated Servings Annual]]</f>
        <v>#DIV/0!</v>
      </c>
    </row>
    <row r="23" spans="1:23" x14ac:dyDescent="0.25">
      <c r="A23" s="79" t="s">
        <v>27</v>
      </c>
      <c r="B23" s="81" t="s">
        <v>102</v>
      </c>
      <c r="C23" s="75" t="s">
        <v>13</v>
      </c>
      <c r="D23" s="75"/>
      <c r="E23" s="75"/>
      <c r="F23" s="75"/>
      <c r="G23" s="75"/>
      <c r="H23" s="75"/>
      <c r="I23" s="75"/>
      <c r="J23" s="86">
        <v>1350000</v>
      </c>
      <c r="K23" s="75"/>
      <c r="L23" s="75"/>
      <c r="M23" s="75"/>
      <c r="N23" s="75"/>
      <c r="O23" s="75"/>
      <c r="P23" s="75"/>
      <c r="Q23" s="99"/>
      <c r="R23" s="105">
        <f>(Table14[[#This Row],[Commercial Bid Price per case for NOI ($)]]-Table14[[#This Row],[Pass-Thru Value per case ($)]])+Table14[[#This Row],[Region 1: Fixed Fee Per Case ($)]]</f>
        <v>0</v>
      </c>
      <c r="S23" s="19" t="e">
        <f>(Table14[[#This Row],[Commercial Bid Price per case for NOI ($)]]+Table14[[#This Row],[Region 1: Fixed Fee Per Case ($)]])/Table14[[#This Row],['# of CN Servings per case]]</f>
        <v>#DIV/0!</v>
      </c>
      <c r="T23" s="20" t="e">
        <f>Table14[[#This Row],[Total Cost Per Serving (N+O)/I]]*Table14[[#This Row],[Estimated Servings Annual]]</f>
        <v>#DIV/0!</v>
      </c>
      <c r="U23" s="105">
        <f>(Table14[[#This Row],[Commercial Bid Price per case for NOI ($)]]-Table14[[#This Row],[Pass-Thru Value per case ($)]])+Table14[[#This Row],[Region 2: Fixed Fee Per Case ($)]]</f>
        <v>0</v>
      </c>
      <c r="V23" s="19" t="e">
        <f>(Table14[[#This Row],[Commercial Bid Price per case for NOI ($)]]+Table14[[#This Row],[Region 2: Fixed Fee Per Case ($)]])/Table14[[#This Row],['# of CN Servings per case]]</f>
        <v>#DIV/0!</v>
      </c>
      <c r="W23" s="20" t="e">
        <f>Table14[[#This Row],[Total Cost Per Serving (N+P)/I]]*Table14[[#This Row],[Estimated Servings Annual]]</f>
        <v>#DIV/0!</v>
      </c>
    </row>
    <row r="24" spans="1:23" x14ac:dyDescent="0.25">
      <c r="A24" s="79" t="s">
        <v>27</v>
      </c>
      <c r="B24" s="81" t="s">
        <v>102</v>
      </c>
      <c r="C24" s="75" t="s">
        <v>13</v>
      </c>
      <c r="D24" s="75"/>
      <c r="E24" s="75"/>
      <c r="F24" s="75"/>
      <c r="G24" s="75"/>
      <c r="H24" s="75"/>
      <c r="I24" s="75"/>
      <c r="J24" s="86">
        <v>1350000</v>
      </c>
      <c r="K24" s="75"/>
      <c r="L24" s="75"/>
      <c r="M24" s="75"/>
      <c r="N24" s="75"/>
      <c r="O24" s="75"/>
      <c r="P24" s="75"/>
      <c r="Q24" s="99"/>
      <c r="R24" s="105">
        <f>(Table14[[#This Row],[Commercial Bid Price per case for NOI ($)]]-Table14[[#This Row],[Pass-Thru Value per case ($)]])+Table14[[#This Row],[Region 1: Fixed Fee Per Case ($)]]</f>
        <v>0</v>
      </c>
      <c r="S24" s="19" t="e">
        <f>(Table14[[#This Row],[Commercial Bid Price per case for NOI ($)]]+Table14[[#This Row],[Region 1: Fixed Fee Per Case ($)]])/Table14[[#This Row],['# of CN Servings per case]]</f>
        <v>#DIV/0!</v>
      </c>
      <c r="T24" s="20" t="e">
        <f>Table14[[#This Row],[Total Cost Per Serving (N+O)/I]]*Table14[[#This Row],[Estimated Servings Annual]]</f>
        <v>#DIV/0!</v>
      </c>
      <c r="U24" s="105">
        <f>(Table14[[#This Row],[Commercial Bid Price per case for NOI ($)]]-Table14[[#This Row],[Pass-Thru Value per case ($)]])+Table14[[#This Row],[Region 2: Fixed Fee Per Case ($)]]</f>
        <v>0</v>
      </c>
      <c r="V24" s="19" t="e">
        <f>(Table14[[#This Row],[Commercial Bid Price per case for NOI ($)]]+Table14[[#This Row],[Region 2: Fixed Fee Per Case ($)]])/Table14[[#This Row],['# of CN Servings per case]]</f>
        <v>#DIV/0!</v>
      </c>
      <c r="W24" s="20" t="e">
        <f>Table14[[#This Row],[Total Cost Per Serving (N+P)/I]]*Table14[[#This Row],[Estimated Servings Annual]]</f>
        <v>#DIV/0!</v>
      </c>
    </row>
    <row r="25" spans="1:23" x14ac:dyDescent="0.25">
      <c r="A25" s="79" t="s">
        <v>27</v>
      </c>
      <c r="B25" s="81" t="s">
        <v>102</v>
      </c>
      <c r="C25" s="75" t="s">
        <v>13</v>
      </c>
      <c r="D25" s="75"/>
      <c r="E25" s="75"/>
      <c r="F25" s="75"/>
      <c r="G25" s="75"/>
      <c r="H25" s="75"/>
      <c r="I25" s="75"/>
      <c r="J25" s="86">
        <v>1350000</v>
      </c>
      <c r="K25" s="75"/>
      <c r="L25" s="75"/>
      <c r="M25" s="75"/>
      <c r="N25" s="75"/>
      <c r="O25" s="75"/>
      <c r="P25" s="75"/>
      <c r="Q25" s="99"/>
      <c r="R25" s="105">
        <f>(Table14[[#This Row],[Commercial Bid Price per case for NOI ($)]]-Table14[[#This Row],[Pass-Thru Value per case ($)]])+Table14[[#This Row],[Region 1: Fixed Fee Per Case ($)]]</f>
        <v>0</v>
      </c>
      <c r="S25" s="19" t="e">
        <f>(Table14[[#This Row],[Commercial Bid Price per case for NOI ($)]]+Table14[[#This Row],[Region 1: Fixed Fee Per Case ($)]])/Table14[[#This Row],['# of CN Servings per case]]</f>
        <v>#DIV/0!</v>
      </c>
      <c r="T25" s="20" t="e">
        <f>Table14[[#This Row],[Total Cost Per Serving (N+O)/I]]*Table14[[#This Row],[Estimated Servings Annual]]</f>
        <v>#DIV/0!</v>
      </c>
      <c r="U25" s="105">
        <f>(Table14[[#This Row],[Commercial Bid Price per case for NOI ($)]]-Table14[[#This Row],[Pass-Thru Value per case ($)]])+Table14[[#This Row],[Region 2: Fixed Fee Per Case ($)]]</f>
        <v>0</v>
      </c>
      <c r="V25" s="19" t="e">
        <f>(Table14[[#This Row],[Commercial Bid Price per case for NOI ($)]]+Table14[[#This Row],[Region 2: Fixed Fee Per Case ($)]])/Table14[[#This Row],['# of CN Servings per case]]</f>
        <v>#DIV/0!</v>
      </c>
      <c r="W25" s="20" t="e">
        <f>Table14[[#This Row],[Total Cost Per Serving (N+P)/I]]*Table14[[#This Row],[Estimated Servings Annual]]</f>
        <v>#DIV/0!</v>
      </c>
    </row>
    <row r="26" spans="1:23" ht="15.75" thickBot="1" x14ac:dyDescent="0.3">
      <c r="A26" s="79" t="s">
        <v>27</v>
      </c>
      <c r="B26" s="82" t="s">
        <v>102</v>
      </c>
      <c r="C26" s="76" t="s">
        <v>13</v>
      </c>
      <c r="D26" s="76"/>
      <c r="E26" s="76"/>
      <c r="F26" s="76"/>
      <c r="G26" s="76"/>
      <c r="H26" s="76"/>
      <c r="I26" s="76"/>
      <c r="J26" s="87">
        <v>1350000</v>
      </c>
      <c r="K26" s="76"/>
      <c r="L26" s="76"/>
      <c r="M26" s="76"/>
      <c r="N26" s="76"/>
      <c r="O26" s="76"/>
      <c r="P26" s="76"/>
      <c r="Q26" s="100"/>
      <c r="R26" s="106">
        <f>(Table14[[#This Row],[Commercial Bid Price per case for NOI ($)]]-Table14[[#This Row],[Pass-Thru Value per case ($)]])+Table14[[#This Row],[Region 1: Fixed Fee Per Case ($)]]</f>
        <v>0</v>
      </c>
      <c r="S26" s="22" t="e">
        <f>(Table14[[#This Row],[Commercial Bid Price per case for NOI ($)]]+Table14[[#This Row],[Region 1: Fixed Fee Per Case ($)]])/Table14[[#This Row],['# of CN Servings per case]]</f>
        <v>#DIV/0!</v>
      </c>
      <c r="T26" s="23" t="e">
        <f>Table14[[#This Row],[Total Cost Per Serving (N+O)/I]]*Table14[[#This Row],[Estimated Servings Annual]]</f>
        <v>#DIV/0!</v>
      </c>
      <c r="U26" s="106">
        <f>(Table14[[#This Row],[Commercial Bid Price per case for NOI ($)]]-Table14[[#This Row],[Pass-Thru Value per case ($)]])+Table14[[#This Row],[Region 2: Fixed Fee Per Case ($)]]</f>
        <v>0</v>
      </c>
      <c r="V26" s="22" t="e">
        <f>(Table14[[#This Row],[Commercial Bid Price per case for NOI ($)]]+Table14[[#This Row],[Region 2: Fixed Fee Per Case ($)]])/Table14[[#This Row],['# of CN Servings per case]]</f>
        <v>#DIV/0!</v>
      </c>
      <c r="W26" s="23" t="e">
        <f>Table14[[#This Row],[Total Cost Per Serving (N+P)/I]]*Table14[[#This Row],[Estimated Servings Annual]]</f>
        <v>#DIV/0!</v>
      </c>
    </row>
    <row r="27" spans="1:23" x14ac:dyDescent="0.25">
      <c r="A27" s="79" t="s">
        <v>27</v>
      </c>
      <c r="B27" s="80" t="s">
        <v>103</v>
      </c>
      <c r="C27" s="72" t="s">
        <v>151</v>
      </c>
      <c r="D27" s="73"/>
      <c r="E27" s="73"/>
      <c r="F27" s="73"/>
      <c r="G27" s="73"/>
      <c r="H27" s="73"/>
      <c r="I27" s="73"/>
      <c r="J27" s="85">
        <v>150000</v>
      </c>
      <c r="K27" s="73"/>
      <c r="L27" s="73"/>
      <c r="M27" s="73"/>
      <c r="N27" s="73"/>
      <c r="O27" s="73"/>
      <c r="P27" s="73"/>
      <c r="Q27" s="98"/>
      <c r="R27" s="104">
        <f>(Table14[[#This Row],[Commercial Bid Price per case for NOI ($)]]-Table14[[#This Row],[Pass-Thru Value per case ($)]])+Table14[[#This Row],[Region 1: Fixed Fee Per Case ($)]]</f>
        <v>0</v>
      </c>
      <c r="S27" s="16" t="e">
        <f>(Table14[[#This Row],[Commercial Bid Price per case for NOI ($)]]+Table14[[#This Row],[Region 1: Fixed Fee Per Case ($)]])/Table14[[#This Row],['# of CN Servings per case]]</f>
        <v>#DIV/0!</v>
      </c>
      <c r="T27" s="17" t="e">
        <f>Table14[[#This Row],[Total Cost Per Serving (N+O)/I]]*Table14[[#This Row],[Estimated Servings Annual]]</f>
        <v>#DIV/0!</v>
      </c>
      <c r="U27" s="104">
        <f>(Table14[[#This Row],[Commercial Bid Price per case for NOI ($)]]-Table14[[#This Row],[Pass-Thru Value per case ($)]])+Table14[[#This Row],[Region 2: Fixed Fee Per Case ($)]]</f>
        <v>0</v>
      </c>
      <c r="V27" s="16" t="e">
        <f>(Table14[[#This Row],[Commercial Bid Price per case for NOI ($)]]+Table14[[#This Row],[Region 2: Fixed Fee Per Case ($)]])/Table14[[#This Row],['# of CN Servings per case]]</f>
        <v>#DIV/0!</v>
      </c>
      <c r="W27" s="17" t="e">
        <f>Table14[[#This Row],[Total Cost Per Serving (N+P)/I]]*Table14[[#This Row],[Estimated Servings Annual]]</f>
        <v>#DIV/0!</v>
      </c>
    </row>
    <row r="28" spans="1:23" x14ac:dyDescent="0.25">
      <c r="A28" s="79" t="s">
        <v>27</v>
      </c>
      <c r="B28" s="81" t="s">
        <v>103</v>
      </c>
      <c r="C28" s="74" t="s">
        <v>151</v>
      </c>
      <c r="D28" s="75"/>
      <c r="E28" s="75"/>
      <c r="F28" s="75"/>
      <c r="G28" s="75"/>
      <c r="H28" s="75"/>
      <c r="I28" s="75"/>
      <c r="J28" s="86">
        <v>150000</v>
      </c>
      <c r="K28" s="75"/>
      <c r="L28" s="75"/>
      <c r="M28" s="75"/>
      <c r="N28" s="75"/>
      <c r="O28" s="75"/>
      <c r="P28" s="75"/>
      <c r="Q28" s="99"/>
      <c r="R28" s="105">
        <f>(Table14[[#This Row],[Commercial Bid Price per case for NOI ($)]]-Table14[[#This Row],[Pass-Thru Value per case ($)]])+Table14[[#This Row],[Region 1: Fixed Fee Per Case ($)]]</f>
        <v>0</v>
      </c>
      <c r="S28" s="19" t="e">
        <f>(Table14[[#This Row],[Commercial Bid Price per case for NOI ($)]]+Table14[[#This Row],[Region 1: Fixed Fee Per Case ($)]])/Table14[[#This Row],['# of CN Servings per case]]</f>
        <v>#DIV/0!</v>
      </c>
      <c r="T28" s="20" t="e">
        <f>Table14[[#This Row],[Total Cost Per Serving (N+O)/I]]*Table14[[#This Row],[Estimated Servings Annual]]</f>
        <v>#DIV/0!</v>
      </c>
      <c r="U28" s="105">
        <f>(Table14[[#This Row],[Commercial Bid Price per case for NOI ($)]]-Table14[[#This Row],[Pass-Thru Value per case ($)]])+Table14[[#This Row],[Region 2: Fixed Fee Per Case ($)]]</f>
        <v>0</v>
      </c>
      <c r="V28" s="19" t="e">
        <f>(Table14[[#This Row],[Commercial Bid Price per case for NOI ($)]]+Table14[[#This Row],[Region 2: Fixed Fee Per Case ($)]])/Table14[[#This Row],['# of CN Servings per case]]</f>
        <v>#DIV/0!</v>
      </c>
      <c r="W28" s="20" t="e">
        <f>Table14[[#This Row],[Total Cost Per Serving (N+P)/I]]*Table14[[#This Row],[Estimated Servings Annual]]</f>
        <v>#DIV/0!</v>
      </c>
    </row>
    <row r="29" spans="1:23" x14ac:dyDescent="0.25">
      <c r="A29" s="79" t="s">
        <v>27</v>
      </c>
      <c r="B29" s="81" t="s">
        <v>103</v>
      </c>
      <c r="C29" s="74" t="s">
        <v>109</v>
      </c>
      <c r="D29" s="75"/>
      <c r="E29" s="75"/>
      <c r="F29" s="75"/>
      <c r="G29" s="75"/>
      <c r="H29" s="75"/>
      <c r="I29" s="75"/>
      <c r="J29" s="86">
        <v>150000</v>
      </c>
      <c r="K29" s="75"/>
      <c r="L29" s="75"/>
      <c r="M29" s="75"/>
      <c r="N29" s="75"/>
      <c r="O29" s="75"/>
      <c r="P29" s="75"/>
      <c r="Q29" s="99"/>
      <c r="R29" s="105">
        <f>(Table14[[#This Row],[Commercial Bid Price per case for NOI ($)]]-Table14[[#This Row],[Pass-Thru Value per case ($)]])+Table14[[#This Row],[Region 1: Fixed Fee Per Case ($)]]</f>
        <v>0</v>
      </c>
      <c r="S29" s="19" t="e">
        <f>(Table14[[#This Row],[Commercial Bid Price per case for NOI ($)]]+Table14[[#This Row],[Region 1: Fixed Fee Per Case ($)]])/Table14[[#This Row],['# of CN Servings per case]]</f>
        <v>#DIV/0!</v>
      </c>
      <c r="T29" s="20" t="e">
        <f>Table14[[#This Row],[Total Cost Per Serving (N+O)/I]]*Table14[[#This Row],[Estimated Servings Annual]]</f>
        <v>#DIV/0!</v>
      </c>
      <c r="U29" s="105">
        <f>(Table14[[#This Row],[Commercial Bid Price per case for NOI ($)]]-Table14[[#This Row],[Pass-Thru Value per case ($)]])+Table14[[#This Row],[Region 2: Fixed Fee Per Case ($)]]</f>
        <v>0</v>
      </c>
      <c r="V29" s="19" t="e">
        <f>(Table14[[#This Row],[Commercial Bid Price per case for NOI ($)]]+Table14[[#This Row],[Region 2: Fixed Fee Per Case ($)]])/Table14[[#This Row],['# of CN Servings per case]]</f>
        <v>#DIV/0!</v>
      </c>
      <c r="W29" s="20" t="e">
        <f>Table14[[#This Row],[Total Cost Per Serving (N+P)/I]]*Table14[[#This Row],[Estimated Servings Annual]]</f>
        <v>#DIV/0!</v>
      </c>
    </row>
    <row r="30" spans="1:23" x14ac:dyDescent="0.25">
      <c r="A30" s="79" t="s">
        <v>27</v>
      </c>
      <c r="B30" s="81" t="s">
        <v>103</v>
      </c>
      <c r="C30" s="74" t="s">
        <v>109</v>
      </c>
      <c r="D30" s="75"/>
      <c r="E30" s="75"/>
      <c r="F30" s="75"/>
      <c r="G30" s="75"/>
      <c r="H30" s="75"/>
      <c r="I30" s="75"/>
      <c r="J30" s="86">
        <v>150000</v>
      </c>
      <c r="K30" s="75"/>
      <c r="L30" s="75"/>
      <c r="M30" s="75"/>
      <c r="N30" s="75"/>
      <c r="O30" s="75"/>
      <c r="P30" s="75"/>
      <c r="Q30" s="99"/>
      <c r="R30" s="105">
        <f>(Table14[[#This Row],[Commercial Bid Price per case for NOI ($)]]-Table14[[#This Row],[Pass-Thru Value per case ($)]])+Table14[[#This Row],[Region 1: Fixed Fee Per Case ($)]]</f>
        <v>0</v>
      </c>
      <c r="S30" s="19" t="e">
        <f>(Table14[[#This Row],[Commercial Bid Price per case for NOI ($)]]+Table14[[#This Row],[Region 1: Fixed Fee Per Case ($)]])/Table14[[#This Row],['# of CN Servings per case]]</f>
        <v>#DIV/0!</v>
      </c>
      <c r="T30" s="20" t="e">
        <f>Table14[[#This Row],[Total Cost Per Serving (N+O)/I]]*Table14[[#This Row],[Estimated Servings Annual]]</f>
        <v>#DIV/0!</v>
      </c>
      <c r="U30" s="105">
        <f>(Table14[[#This Row],[Commercial Bid Price per case for NOI ($)]]-Table14[[#This Row],[Pass-Thru Value per case ($)]])+Table14[[#This Row],[Region 2: Fixed Fee Per Case ($)]]</f>
        <v>0</v>
      </c>
      <c r="V30" s="19" t="e">
        <f>(Table14[[#This Row],[Commercial Bid Price per case for NOI ($)]]+Table14[[#This Row],[Region 2: Fixed Fee Per Case ($)]])/Table14[[#This Row],['# of CN Servings per case]]</f>
        <v>#DIV/0!</v>
      </c>
      <c r="W30" s="20" t="e">
        <f>Table14[[#This Row],[Total Cost Per Serving (N+P)/I]]*Table14[[#This Row],[Estimated Servings Annual]]</f>
        <v>#DIV/0!</v>
      </c>
    </row>
    <row r="31" spans="1:23" x14ac:dyDescent="0.25">
      <c r="A31" s="79" t="s">
        <v>27</v>
      </c>
      <c r="B31" s="81" t="s">
        <v>103</v>
      </c>
      <c r="C31" s="75" t="s">
        <v>13</v>
      </c>
      <c r="D31" s="75"/>
      <c r="E31" s="75"/>
      <c r="F31" s="75"/>
      <c r="G31" s="75"/>
      <c r="H31" s="75"/>
      <c r="I31" s="75"/>
      <c r="J31" s="86">
        <v>150000</v>
      </c>
      <c r="K31" s="75"/>
      <c r="L31" s="75"/>
      <c r="M31" s="75"/>
      <c r="N31" s="75"/>
      <c r="O31" s="75"/>
      <c r="P31" s="75"/>
      <c r="Q31" s="99"/>
      <c r="R31" s="105">
        <f>(Table14[[#This Row],[Commercial Bid Price per case for NOI ($)]]-Table14[[#This Row],[Pass-Thru Value per case ($)]])+Table14[[#This Row],[Region 1: Fixed Fee Per Case ($)]]</f>
        <v>0</v>
      </c>
      <c r="S31" s="19" t="e">
        <f>(Table14[[#This Row],[Commercial Bid Price per case for NOI ($)]]+Table14[[#This Row],[Region 1: Fixed Fee Per Case ($)]])/Table14[[#This Row],['# of CN Servings per case]]</f>
        <v>#DIV/0!</v>
      </c>
      <c r="T31" s="20" t="e">
        <f>Table14[[#This Row],[Total Cost Per Serving (N+O)/I]]*Table14[[#This Row],[Estimated Servings Annual]]</f>
        <v>#DIV/0!</v>
      </c>
      <c r="U31" s="105">
        <f>(Table14[[#This Row],[Commercial Bid Price per case for NOI ($)]]-Table14[[#This Row],[Pass-Thru Value per case ($)]])+Table14[[#This Row],[Region 2: Fixed Fee Per Case ($)]]</f>
        <v>0</v>
      </c>
      <c r="V31" s="19" t="e">
        <f>(Table14[[#This Row],[Commercial Bid Price per case for NOI ($)]]+Table14[[#This Row],[Region 2: Fixed Fee Per Case ($)]])/Table14[[#This Row],['# of CN Servings per case]]</f>
        <v>#DIV/0!</v>
      </c>
      <c r="W31" s="20" t="e">
        <f>Table14[[#This Row],[Total Cost Per Serving (N+P)/I]]*Table14[[#This Row],[Estimated Servings Annual]]</f>
        <v>#DIV/0!</v>
      </c>
    </row>
    <row r="32" spans="1:23" x14ac:dyDescent="0.25">
      <c r="A32" s="79" t="s">
        <v>27</v>
      </c>
      <c r="B32" s="81" t="s">
        <v>103</v>
      </c>
      <c r="C32" s="75" t="s">
        <v>13</v>
      </c>
      <c r="D32" s="75"/>
      <c r="E32" s="75"/>
      <c r="F32" s="75"/>
      <c r="G32" s="75"/>
      <c r="H32" s="75"/>
      <c r="I32" s="75"/>
      <c r="J32" s="86">
        <v>150000</v>
      </c>
      <c r="K32" s="75"/>
      <c r="L32" s="75"/>
      <c r="M32" s="75"/>
      <c r="N32" s="75"/>
      <c r="O32" s="75"/>
      <c r="P32" s="75"/>
      <c r="Q32" s="99"/>
      <c r="R32" s="105">
        <f>(Table14[[#This Row],[Commercial Bid Price per case for NOI ($)]]-Table14[[#This Row],[Pass-Thru Value per case ($)]])+Table14[[#This Row],[Region 1: Fixed Fee Per Case ($)]]</f>
        <v>0</v>
      </c>
      <c r="S32" s="19" t="e">
        <f>(Table14[[#This Row],[Commercial Bid Price per case for NOI ($)]]+Table14[[#This Row],[Region 1: Fixed Fee Per Case ($)]])/Table14[[#This Row],['# of CN Servings per case]]</f>
        <v>#DIV/0!</v>
      </c>
      <c r="T32" s="20" t="e">
        <f>Table14[[#This Row],[Total Cost Per Serving (N+O)/I]]*Table14[[#This Row],[Estimated Servings Annual]]</f>
        <v>#DIV/0!</v>
      </c>
      <c r="U32" s="105">
        <f>(Table14[[#This Row],[Commercial Bid Price per case for NOI ($)]]-Table14[[#This Row],[Pass-Thru Value per case ($)]])+Table14[[#This Row],[Region 2: Fixed Fee Per Case ($)]]</f>
        <v>0</v>
      </c>
      <c r="V32" s="19" t="e">
        <f>(Table14[[#This Row],[Commercial Bid Price per case for NOI ($)]]+Table14[[#This Row],[Region 2: Fixed Fee Per Case ($)]])/Table14[[#This Row],['# of CN Servings per case]]</f>
        <v>#DIV/0!</v>
      </c>
      <c r="W32" s="20" t="e">
        <f>Table14[[#This Row],[Total Cost Per Serving (N+P)/I]]*Table14[[#This Row],[Estimated Servings Annual]]</f>
        <v>#DIV/0!</v>
      </c>
    </row>
    <row r="33" spans="1:23" x14ac:dyDescent="0.25">
      <c r="A33" s="79" t="s">
        <v>27</v>
      </c>
      <c r="B33" s="81" t="s">
        <v>103</v>
      </c>
      <c r="C33" s="75" t="s">
        <v>13</v>
      </c>
      <c r="D33" s="75"/>
      <c r="E33" s="75"/>
      <c r="F33" s="75"/>
      <c r="G33" s="75"/>
      <c r="H33" s="75"/>
      <c r="I33" s="75"/>
      <c r="J33" s="86">
        <v>150000</v>
      </c>
      <c r="K33" s="75"/>
      <c r="L33" s="75"/>
      <c r="M33" s="75"/>
      <c r="N33" s="75"/>
      <c r="O33" s="75"/>
      <c r="P33" s="75"/>
      <c r="Q33" s="99"/>
      <c r="R33" s="105">
        <f>(Table14[[#This Row],[Commercial Bid Price per case for NOI ($)]]-Table14[[#This Row],[Pass-Thru Value per case ($)]])+Table14[[#This Row],[Region 1: Fixed Fee Per Case ($)]]</f>
        <v>0</v>
      </c>
      <c r="S33" s="19" t="e">
        <f>(Table14[[#This Row],[Commercial Bid Price per case for NOI ($)]]+Table14[[#This Row],[Region 1: Fixed Fee Per Case ($)]])/Table14[[#This Row],['# of CN Servings per case]]</f>
        <v>#DIV/0!</v>
      </c>
      <c r="T33" s="20" t="e">
        <f>Table14[[#This Row],[Total Cost Per Serving (N+O)/I]]*Table14[[#This Row],[Estimated Servings Annual]]</f>
        <v>#DIV/0!</v>
      </c>
      <c r="U33" s="105">
        <f>(Table14[[#This Row],[Commercial Bid Price per case for NOI ($)]]-Table14[[#This Row],[Pass-Thru Value per case ($)]])+Table14[[#This Row],[Region 2: Fixed Fee Per Case ($)]]</f>
        <v>0</v>
      </c>
      <c r="V33" s="19" t="e">
        <f>(Table14[[#This Row],[Commercial Bid Price per case for NOI ($)]]+Table14[[#This Row],[Region 2: Fixed Fee Per Case ($)]])/Table14[[#This Row],['# of CN Servings per case]]</f>
        <v>#DIV/0!</v>
      </c>
      <c r="W33" s="20" t="e">
        <f>Table14[[#This Row],[Total Cost Per Serving (N+P)/I]]*Table14[[#This Row],[Estimated Servings Annual]]</f>
        <v>#DIV/0!</v>
      </c>
    </row>
    <row r="34" spans="1:23" ht="15.75" thickBot="1" x14ac:dyDescent="0.3">
      <c r="A34" s="79" t="s">
        <v>27</v>
      </c>
      <c r="B34" s="82" t="s">
        <v>103</v>
      </c>
      <c r="C34" s="76" t="s">
        <v>13</v>
      </c>
      <c r="D34" s="76"/>
      <c r="E34" s="76"/>
      <c r="F34" s="76"/>
      <c r="G34" s="76"/>
      <c r="H34" s="76"/>
      <c r="I34" s="76"/>
      <c r="J34" s="87">
        <v>150000</v>
      </c>
      <c r="K34" s="76"/>
      <c r="L34" s="76"/>
      <c r="M34" s="76"/>
      <c r="N34" s="76"/>
      <c r="O34" s="76"/>
      <c r="P34" s="76"/>
      <c r="Q34" s="100"/>
      <c r="R34" s="106">
        <f>(Table14[[#This Row],[Commercial Bid Price per case for NOI ($)]]-Table14[[#This Row],[Pass-Thru Value per case ($)]])+Table14[[#This Row],[Region 1: Fixed Fee Per Case ($)]]</f>
        <v>0</v>
      </c>
      <c r="S34" s="22" t="e">
        <f>(Table14[[#This Row],[Commercial Bid Price per case for NOI ($)]]+Table14[[#This Row],[Region 1: Fixed Fee Per Case ($)]])/Table14[[#This Row],['# of CN Servings per case]]</f>
        <v>#DIV/0!</v>
      </c>
      <c r="T34" s="23" t="e">
        <f>Table14[[#This Row],[Total Cost Per Serving (N+O)/I]]*Table14[[#This Row],[Estimated Servings Annual]]</f>
        <v>#DIV/0!</v>
      </c>
      <c r="U34" s="106">
        <f>(Table14[[#This Row],[Commercial Bid Price per case for NOI ($)]]-Table14[[#This Row],[Pass-Thru Value per case ($)]])+Table14[[#This Row],[Region 2: Fixed Fee Per Case ($)]]</f>
        <v>0</v>
      </c>
      <c r="V34" s="22" t="e">
        <f>(Table14[[#This Row],[Commercial Bid Price per case for NOI ($)]]+Table14[[#This Row],[Region 2: Fixed Fee Per Case ($)]])/Table14[[#This Row],['# of CN Servings per case]]</f>
        <v>#DIV/0!</v>
      </c>
      <c r="W34" s="23" t="e">
        <f>Table14[[#This Row],[Total Cost Per Serving (N+P)/I]]*Table14[[#This Row],[Estimated Servings Annual]]</f>
        <v>#DIV/0!</v>
      </c>
    </row>
    <row r="35" spans="1:23" x14ac:dyDescent="0.25">
      <c r="A35" s="79" t="s">
        <v>27</v>
      </c>
      <c r="B35" s="80" t="s">
        <v>104</v>
      </c>
      <c r="C35" s="72" t="s">
        <v>151</v>
      </c>
      <c r="D35" s="73"/>
      <c r="E35" s="73"/>
      <c r="F35" s="73"/>
      <c r="G35" s="73"/>
      <c r="H35" s="73"/>
      <c r="I35" s="73"/>
      <c r="J35" s="85">
        <v>200000</v>
      </c>
      <c r="K35" s="73"/>
      <c r="L35" s="73"/>
      <c r="M35" s="73"/>
      <c r="N35" s="73"/>
      <c r="O35" s="73"/>
      <c r="P35" s="73"/>
      <c r="Q35" s="98"/>
      <c r="R35" s="104">
        <f>(Table14[[#This Row],[Commercial Bid Price per case for NOI ($)]]-Table14[[#This Row],[Pass-Thru Value per case ($)]])+Table14[[#This Row],[Region 1: Fixed Fee Per Case ($)]]</f>
        <v>0</v>
      </c>
      <c r="S35" s="31" t="e">
        <f>(Table14[[#This Row],[Commercial Bid Price per case for NOI ($)]]+Table14[[#This Row],[Region 1: Fixed Fee Per Case ($)]])/Table14[[#This Row],['# of CN Servings per case]]</f>
        <v>#DIV/0!</v>
      </c>
      <c r="T35" s="17" t="e">
        <f>Table14[[#This Row],[Total Cost Per Serving (N+O)/I]]*Table14[[#This Row],[Estimated Servings Annual]]</f>
        <v>#DIV/0!</v>
      </c>
      <c r="U35" s="104">
        <f>(Table14[[#This Row],[Commercial Bid Price per case for NOI ($)]]-Table14[[#This Row],[Pass-Thru Value per case ($)]])+Table14[[#This Row],[Region 2: Fixed Fee Per Case ($)]]</f>
        <v>0</v>
      </c>
      <c r="V35" s="31" t="e">
        <f>(Table14[[#This Row],[Commercial Bid Price per case for NOI ($)]]+Table14[[#This Row],[Region 2: Fixed Fee Per Case ($)]])/Table14[[#This Row],['# of CN Servings per case]]</f>
        <v>#DIV/0!</v>
      </c>
      <c r="W35" s="17" t="e">
        <f>Table14[[#This Row],[Total Cost Per Serving (N+P)/I]]*Table14[[#This Row],[Estimated Servings Annual]]</f>
        <v>#DIV/0!</v>
      </c>
    </row>
    <row r="36" spans="1:23" x14ac:dyDescent="0.25">
      <c r="A36" s="79" t="s">
        <v>27</v>
      </c>
      <c r="B36" s="81" t="s">
        <v>104</v>
      </c>
      <c r="C36" s="74" t="s">
        <v>151</v>
      </c>
      <c r="D36" s="75"/>
      <c r="E36" s="75"/>
      <c r="F36" s="75"/>
      <c r="G36" s="75"/>
      <c r="H36" s="75"/>
      <c r="I36" s="75"/>
      <c r="J36" s="86">
        <v>200000</v>
      </c>
      <c r="K36" s="75"/>
      <c r="L36" s="75"/>
      <c r="M36" s="75"/>
      <c r="N36" s="75"/>
      <c r="O36" s="75"/>
      <c r="P36" s="75"/>
      <c r="Q36" s="99"/>
      <c r="R36" s="105">
        <f>(Table14[[#This Row],[Commercial Bid Price per case for NOI ($)]]-Table14[[#This Row],[Pass-Thru Value per case ($)]])+Table14[[#This Row],[Region 1: Fixed Fee Per Case ($)]]</f>
        <v>0</v>
      </c>
      <c r="S36" s="24" t="e">
        <f>(Table14[[#This Row],[Commercial Bid Price per case for NOI ($)]]+Table14[[#This Row],[Region 1: Fixed Fee Per Case ($)]])/Table14[[#This Row],['# of CN Servings per case]]</f>
        <v>#DIV/0!</v>
      </c>
      <c r="T36" s="20" t="e">
        <f>Table14[[#This Row],[Total Cost Per Serving (N+O)/I]]*Table14[[#This Row],[Estimated Servings Annual]]</f>
        <v>#DIV/0!</v>
      </c>
      <c r="U36" s="105">
        <f>(Table14[[#This Row],[Commercial Bid Price per case for NOI ($)]]-Table14[[#This Row],[Pass-Thru Value per case ($)]])+Table14[[#This Row],[Region 2: Fixed Fee Per Case ($)]]</f>
        <v>0</v>
      </c>
      <c r="V36" s="24" t="e">
        <f>(Table14[[#This Row],[Commercial Bid Price per case for NOI ($)]]+Table14[[#This Row],[Region 2: Fixed Fee Per Case ($)]])/Table14[[#This Row],['# of CN Servings per case]]</f>
        <v>#DIV/0!</v>
      </c>
      <c r="W36" s="20" t="e">
        <f>Table14[[#This Row],[Total Cost Per Serving (N+P)/I]]*Table14[[#This Row],[Estimated Servings Annual]]</f>
        <v>#DIV/0!</v>
      </c>
    </row>
    <row r="37" spans="1:23" x14ac:dyDescent="0.25">
      <c r="A37" s="79" t="s">
        <v>27</v>
      </c>
      <c r="B37" s="81" t="s">
        <v>104</v>
      </c>
      <c r="C37" s="74" t="s">
        <v>109</v>
      </c>
      <c r="D37" s="75"/>
      <c r="E37" s="75"/>
      <c r="F37" s="75"/>
      <c r="G37" s="75"/>
      <c r="H37" s="75"/>
      <c r="I37" s="75"/>
      <c r="J37" s="86">
        <v>200000</v>
      </c>
      <c r="K37" s="75"/>
      <c r="L37" s="75"/>
      <c r="M37" s="75"/>
      <c r="N37" s="75"/>
      <c r="O37" s="75"/>
      <c r="P37" s="75"/>
      <c r="Q37" s="99"/>
      <c r="R37" s="105">
        <f>(Table14[[#This Row],[Commercial Bid Price per case for NOI ($)]]-Table14[[#This Row],[Pass-Thru Value per case ($)]])+Table14[[#This Row],[Region 1: Fixed Fee Per Case ($)]]</f>
        <v>0</v>
      </c>
      <c r="S37" s="24" t="e">
        <f>(Table14[[#This Row],[Commercial Bid Price per case for NOI ($)]]+Table14[[#This Row],[Region 1: Fixed Fee Per Case ($)]])/Table14[[#This Row],['# of CN Servings per case]]</f>
        <v>#DIV/0!</v>
      </c>
      <c r="T37" s="20" t="e">
        <f>Table14[[#This Row],[Total Cost Per Serving (N+O)/I]]*Table14[[#This Row],[Estimated Servings Annual]]</f>
        <v>#DIV/0!</v>
      </c>
      <c r="U37" s="105">
        <f>(Table14[[#This Row],[Commercial Bid Price per case for NOI ($)]]-Table14[[#This Row],[Pass-Thru Value per case ($)]])+Table14[[#This Row],[Region 2: Fixed Fee Per Case ($)]]</f>
        <v>0</v>
      </c>
      <c r="V37" s="24" t="e">
        <f>(Table14[[#This Row],[Commercial Bid Price per case for NOI ($)]]+Table14[[#This Row],[Region 2: Fixed Fee Per Case ($)]])/Table14[[#This Row],['# of CN Servings per case]]</f>
        <v>#DIV/0!</v>
      </c>
      <c r="W37" s="20" t="e">
        <f>Table14[[#This Row],[Total Cost Per Serving (N+P)/I]]*Table14[[#This Row],[Estimated Servings Annual]]</f>
        <v>#DIV/0!</v>
      </c>
    </row>
    <row r="38" spans="1:23" x14ac:dyDescent="0.25">
      <c r="A38" s="79" t="s">
        <v>27</v>
      </c>
      <c r="B38" s="81" t="s">
        <v>104</v>
      </c>
      <c r="C38" s="74" t="s">
        <v>109</v>
      </c>
      <c r="D38" s="75"/>
      <c r="E38" s="75"/>
      <c r="F38" s="75"/>
      <c r="G38" s="75"/>
      <c r="H38" s="75"/>
      <c r="I38" s="75"/>
      <c r="J38" s="86">
        <v>200000</v>
      </c>
      <c r="K38" s="75"/>
      <c r="L38" s="75"/>
      <c r="M38" s="75"/>
      <c r="N38" s="75"/>
      <c r="O38" s="75"/>
      <c r="P38" s="75"/>
      <c r="Q38" s="99"/>
      <c r="R38" s="105">
        <f>(Table14[[#This Row],[Commercial Bid Price per case for NOI ($)]]-Table14[[#This Row],[Pass-Thru Value per case ($)]])+Table14[[#This Row],[Region 1: Fixed Fee Per Case ($)]]</f>
        <v>0</v>
      </c>
      <c r="S38" s="24" t="e">
        <f>(Table14[[#This Row],[Commercial Bid Price per case for NOI ($)]]+Table14[[#This Row],[Region 1: Fixed Fee Per Case ($)]])/Table14[[#This Row],['# of CN Servings per case]]</f>
        <v>#DIV/0!</v>
      </c>
      <c r="T38" s="20" t="e">
        <f>Table14[[#This Row],[Total Cost Per Serving (N+O)/I]]*Table14[[#This Row],[Estimated Servings Annual]]</f>
        <v>#DIV/0!</v>
      </c>
      <c r="U38" s="105">
        <f>(Table14[[#This Row],[Commercial Bid Price per case for NOI ($)]]-Table14[[#This Row],[Pass-Thru Value per case ($)]])+Table14[[#This Row],[Region 2: Fixed Fee Per Case ($)]]</f>
        <v>0</v>
      </c>
      <c r="V38" s="24" t="e">
        <f>(Table14[[#This Row],[Commercial Bid Price per case for NOI ($)]]+Table14[[#This Row],[Region 2: Fixed Fee Per Case ($)]])/Table14[[#This Row],['# of CN Servings per case]]</f>
        <v>#DIV/0!</v>
      </c>
      <c r="W38" s="20" t="e">
        <f>Table14[[#This Row],[Total Cost Per Serving (N+P)/I]]*Table14[[#This Row],[Estimated Servings Annual]]</f>
        <v>#DIV/0!</v>
      </c>
    </row>
    <row r="39" spans="1:23" x14ac:dyDescent="0.25">
      <c r="A39" s="79" t="s">
        <v>27</v>
      </c>
      <c r="B39" s="81" t="s">
        <v>104</v>
      </c>
      <c r="C39" s="75" t="s">
        <v>13</v>
      </c>
      <c r="D39" s="75"/>
      <c r="E39" s="75"/>
      <c r="F39" s="75"/>
      <c r="G39" s="75"/>
      <c r="H39" s="75"/>
      <c r="I39" s="75"/>
      <c r="J39" s="86">
        <v>200000</v>
      </c>
      <c r="K39" s="75"/>
      <c r="L39" s="75"/>
      <c r="M39" s="75"/>
      <c r="N39" s="75"/>
      <c r="O39" s="75"/>
      <c r="P39" s="75"/>
      <c r="Q39" s="99"/>
      <c r="R39" s="105">
        <f>(Table14[[#This Row],[Commercial Bid Price per case for NOI ($)]]-Table14[[#This Row],[Pass-Thru Value per case ($)]])+Table14[[#This Row],[Region 1: Fixed Fee Per Case ($)]]</f>
        <v>0</v>
      </c>
      <c r="S39" s="24" t="e">
        <f>(Table14[[#This Row],[Commercial Bid Price per case for NOI ($)]]+Table14[[#This Row],[Region 1: Fixed Fee Per Case ($)]])/Table14[[#This Row],['# of CN Servings per case]]</f>
        <v>#DIV/0!</v>
      </c>
      <c r="T39" s="20" t="e">
        <f>Table14[[#This Row],[Total Cost Per Serving (N+O)/I]]*Table14[[#This Row],[Estimated Servings Annual]]</f>
        <v>#DIV/0!</v>
      </c>
      <c r="U39" s="105">
        <f>(Table14[[#This Row],[Commercial Bid Price per case for NOI ($)]]-Table14[[#This Row],[Pass-Thru Value per case ($)]])+Table14[[#This Row],[Region 2: Fixed Fee Per Case ($)]]</f>
        <v>0</v>
      </c>
      <c r="V39" s="24" t="e">
        <f>(Table14[[#This Row],[Commercial Bid Price per case for NOI ($)]]+Table14[[#This Row],[Region 2: Fixed Fee Per Case ($)]])/Table14[[#This Row],['# of CN Servings per case]]</f>
        <v>#DIV/0!</v>
      </c>
      <c r="W39" s="20" t="e">
        <f>Table14[[#This Row],[Total Cost Per Serving (N+P)/I]]*Table14[[#This Row],[Estimated Servings Annual]]</f>
        <v>#DIV/0!</v>
      </c>
    </row>
    <row r="40" spans="1:23" x14ac:dyDescent="0.25">
      <c r="A40" s="79" t="s">
        <v>27</v>
      </c>
      <c r="B40" s="81" t="s">
        <v>104</v>
      </c>
      <c r="C40" s="75" t="s">
        <v>13</v>
      </c>
      <c r="D40" s="75"/>
      <c r="E40" s="75"/>
      <c r="F40" s="75"/>
      <c r="G40" s="75"/>
      <c r="H40" s="75"/>
      <c r="I40" s="75"/>
      <c r="J40" s="86">
        <v>200000</v>
      </c>
      <c r="K40" s="75"/>
      <c r="L40" s="75"/>
      <c r="M40" s="75"/>
      <c r="N40" s="75"/>
      <c r="O40" s="75"/>
      <c r="P40" s="75"/>
      <c r="Q40" s="99"/>
      <c r="R40" s="105">
        <f>(Table14[[#This Row],[Commercial Bid Price per case for NOI ($)]]-Table14[[#This Row],[Pass-Thru Value per case ($)]])+Table14[[#This Row],[Region 1: Fixed Fee Per Case ($)]]</f>
        <v>0</v>
      </c>
      <c r="S40" s="24" t="e">
        <f>(Table14[[#This Row],[Commercial Bid Price per case for NOI ($)]]+Table14[[#This Row],[Region 1: Fixed Fee Per Case ($)]])/Table14[[#This Row],['# of CN Servings per case]]</f>
        <v>#DIV/0!</v>
      </c>
      <c r="T40" s="20" t="e">
        <f>Table14[[#This Row],[Total Cost Per Serving (N+O)/I]]*Table14[[#This Row],[Estimated Servings Annual]]</f>
        <v>#DIV/0!</v>
      </c>
      <c r="U40" s="105">
        <f>(Table14[[#This Row],[Commercial Bid Price per case for NOI ($)]]-Table14[[#This Row],[Pass-Thru Value per case ($)]])+Table14[[#This Row],[Region 2: Fixed Fee Per Case ($)]]</f>
        <v>0</v>
      </c>
      <c r="V40" s="24" t="e">
        <f>(Table14[[#This Row],[Commercial Bid Price per case for NOI ($)]]+Table14[[#This Row],[Region 2: Fixed Fee Per Case ($)]])/Table14[[#This Row],['# of CN Servings per case]]</f>
        <v>#DIV/0!</v>
      </c>
      <c r="W40" s="20" t="e">
        <f>Table14[[#This Row],[Total Cost Per Serving (N+P)/I]]*Table14[[#This Row],[Estimated Servings Annual]]</f>
        <v>#DIV/0!</v>
      </c>
    </row>
    <row r="41" spans="1:23" x14ac:dyDescent="0.25">
      <c r="A41" s="79" t="s">
        <v>27</v>
      </c>
      <c r="B41" s="81" t="s">
        <v>104</v>
      </c>
      <c r="C41" s="75" t="s">
        <v>13</v>
      </c>
      <c r="D41" s="75"/>
      <c r="E41" s="75"/>
      <c r="F41" s="75"/>
      <c r="G41" s="75"/>
      <c r="H41" s="75"/>
      <c r="I41" s="75"/>
      <c r="J41" s="86">
        <v>200000</v>
      </c>
      <c r="K41" s="75"/>
      <c r="L41" s="75"/>
      <c r="M41" s="75"/>
      <c r="N41" s="75"/>
      <c r="O41" s="75"/>
      <c r="P41" s="75"/>
      <c r="Q41" s="99"/>
      <c r="R41" s="105">
        <f>(Table14[[#This Row],[Commercial Bid Price per case for NOI ($)]]-Table14[[#This Row],[Pass-Thru Value per case ($)]])+Table14[[#This Row],[Region 1: Fixed Fee Per Case ($)]]</f>
        <v>0</v>
      </c>
      <c r="S41" s="24" t="e">
        <f>(Table14[[#This Row],[Commercial Bid Price per case for NOI ($)]]+Table14[[#This Row],[Region 1: Fixed Fee Per Case ($)]])/Table14[[#This Row],['# of CN Servings per case]]</f>
        <v>#DIV/0!</v>
      </c>
      <c r="T41" s="20" t="e">
        <f>Table14[[#This Row],[Total Cost Per Serving (N+O)/I]]*Table14[[#This Row],[Estimated Servings Annual]]</f>
        <v>#DIV/0!</v>
      </c>
      <c r="U41" s="105">
        <f>(Table14[[#This Row],[Commercial Bid Price per case for NOI ($)]]-Table14[[#This Row],[Pass-Thru Value per case ($)]])+Table14[[#This Row],[Region 2: Fixed Fee Per Case ($)]]</f>
        <v>0</v>
      </c>
      <c r="V41" s="24" t="e">
        <f>(Table14[[#This Row],[Commercial Bid Price per case for NOI ($)]]+Table14[[#This Row],[Region 2: Fixed Fee Per Case ($)]])/Table14[[#This Row],['# of CN Servings per case]]</f>
        <v>#DIV/0!</v>
      </c>
      <c r="W41" s="20" t="e">
        <f>Table14[[#This Row],[Total Cost Per Serving (N+P)/I]]*Table14[[#This Row],[Estimated Servings Annual]]</f>
        <v>#DIV/0!</v>
      </c>
    </row>
    <row r="42" spans="1:23" ht="15.75" thickBot="1" x14ac:dyDescent="0.3">
      <c r="A42" s="79" t="s">
        <v>27</v>
      </c>
      <c r="B42" s="82" t="s">
        <v>104</v>
      </c>
      <c r="C42" s="76" t="s">
        <v>13</v>
      </c>
      <c r="D42" s="76"/>
      <c r="E42" s="76"/>
      <c r="F42" s="76"/>
      <c r="G42" s="76"/>
      <c r="H42" s="76"/>
      <c r="I42" s="76"/>
      <c r="J42" s="87">
        <v>200000</v>
      </c>
      <c r="K42" s="76"/>
      <c r="L42" s="76"/>
      <c r="M42" s="76"/>
      <c r="N42" s="76"/>
      <c r="O42" s="76"/>
      <c r="P42" s="76"/>
      <c r="Q42" s="100"/>
      <c r="R42" s="106">
        <f>(Table14[[#This Row],[Commercial Bid Price per case for NOI ($)]]-Table14[[#This Row],[Pass-Thru Value per case ($)]])+Table14[[#This Row],[Region 1: Fixed Fee Per Case ($)]]</f>
        <v>0</v>
      </c>
      <c r="S42" s="25" t="e">
        <f>(Table14[[#This Row],[Commercial Bid Price per case for NOI ($)]]+Table14[[#This Row],[Region 1: Fixed Fee Per Case ($)]])/Table14[[#This Row],['# of CN Servings per case]]</f>
        <v>#DIV/0!</v>
      </c>
      <c r="T42" s="23" t="e">
        <f>Table14[[#This Row],[Total Cost Per Serving (N+O)/I]]*Table14[[#This Row],[Estimated Servings Annual]]</f>
        <v>#DIV/0!</v>
      </c>
      <c r="U42" s="106">
        <f>(Table14[[#This Row],[Commercial Bid Price per case for NOI ($)]]-Table14[[#This Row],[Pass-Thru Value per case ($)]])+Table14[[#This Row],[Region 2: Fixed Fee Per Case ($)]]</f>
        <v>0</v>
      </c>
      <c r="V42" s="25" t="e">
        <f>(Table14[[#This Row],[Commercial Bid Price per case for NOI ($)]]+Table14[[#This Row],[Region 2: Fixed Fee Per Case ($)]])/Table14[[#This Row],['# of CN Servings per case]]</f>
        <v>#DIV/0!</v>
      </c>
      <c r="W42" s="23" t="e">
        <f>Table14[[#This Row],[Total Cost Per Serving (N+P)/I]]*Table14[[#This Row],[Estimated Servings Annual]]</f>
        <v>#DIV/0!</v>
      </c>
    </row>
    <row r="43" spans="1:23" x14ac:dyDescent="0.25">
      <c r="A43" s="79" t="s">
        <v>27</v>
      </c>
      <c r="B43" s="80" t="s">
        <v>105</v>
      </c>
      <c r="C43" s="72" t="s">
        <v>151</v>
      </c>
      <c r="D43" s="73"/>
      <c r="E43" s="73"/>
      <c r="F43" s="73"/>
      <c r="G43" s="73"/>
      <c r="H43" s="73"/>
      <c r="I43" s="73"/>
      <c r="J43" s="85">
        <v>100000</v>
      </c>
      <c r="K43" s="73"/>
      <c r="L43" s="73"/>
      <c r="M43" s="73"/>
      <c r="N43" s="73"/>
      <c r="O43" s="73"/>
      <c r="P43" s="73"/>
      <c r="Q43" s="98"/>
      <c r="R43" s="104">
        <f>(Table14[[#This Row],[Commercial Bid Price per case for NOI ($)]]-Table14[[#This Row],[Pass-Thru Value per case ($)]])+Table14[[#This Row],[Region 1: Fixed Fee Per Case ($)]]</f>
        <v>0</v>
      </c>
      <c r="S43" s="31" t="e">
        <f>(Table14[[#This Row],[Commercial Bid Price per case for NOI ($)]]+Table14[[#This Row],[Region 1: Fixed Fee Per Case ($)]])/Table14[[#This Row],['# of CN Servings per case]]</f>
        <v>#DIV/0!</v>
      </c>
      <c r="T43" s="17" t="e">
        <f>Table14[[#This Row],[Total Cost Per Serving (N+O)/I]]*Table14[[#This Row],[Estimated Servings Annual]]</f>
        <v>#DIV/0!</v>
      </c>
      <c r="U43" s="104">
        <f>(Table14[[#This Row],[Commercial Bid Price per case for NOI ($)]]-Table14[[#This Row],[Pass-Thru Value per case ($)]])+Table14[[#This Row],[Region 2: Fixed Fee Per Case ($)]]</f>
        <v>0</v>
      </c>
      <c r="V43" s="31" t="e">
        <f>(Table14[[#This Row],[Commercial Bid Price per case for NOI ($)]]+Table14[[#This Row],[Region 2: Fixed Fee Per Case ($)]])/Table14[[#This Row],['# of CN Servings per case]]</f>
        <v>#DIV/0!</v>
      </c>
      <c r="W43" s="17" t="e">
        <f>Table14[[#This Row],[Total Cost Per Serving (N+P)/I]]*Table14[[#This Row],[Estimated Servings Annual]]</f>
        <v>#DIV/0!</v>
      </c>
    </row>
    <row r="44" spans="1:23" x14ac:dyDescent="0.25">
      <c r="A44" s="79" t="s">
        <v>27</v>
      </c>
      <c r="B44" s="81" t="s">
        <v>105</v>
      </c>
      <c r="C44" s="74" t="s">
        <v>151</v>
      </c>
      <c r="D44" s="75"/>
      <c r="E44" s="75"/>
      <c r="F44" s="75"/>
      <c r="G44" s="75"/>
      <c r="H44" s="75"/>
      <c r="I44" s="75"/>
      <c r="J44" s="86">
        <v>100000</v>
      </c>
      <c r="K44" s="75"/>
      <c r="L44" s="75"/>
      <c r="M44" s="75"/>
      <c r="N44" s="75"/>
      <c r="O44" s="75"/>
      <c r="P44" s="75"/>
      <c r="Q44" s="99"/>
      <c r="R44" s="105">
        <f>(Table14[[#This Row],[Commercial Bid Price per case for NOI ($)]]-Table14[[#This Row],[Pass-Thru Value per case ($)]])+Table14[[#This Row],[Region 1: Fixed Fee Per Case ($)]]</f>
        <v>0</v>
      </c>
      <c r="S44" s="24" t="e">
        <f>(Table14[[#This Row],[Commercial Bid Price per case for NOI ($)]]+Table14[[#This Row],[Region 1: Fixed Fee Per Case ($)]])/Table14[[#This Row],['# of CN Servings per case]]</f>
        <v>#DIV/0!</v>
      </c>
      <c r="T44" s="20" t="e">
        <f>Table14[[#This Row],[Total Cost Per Serving (N+O)/I]]*Table14[[#This Row],[Estimated Servings Annual]]</f>
        <v>#DIV/0!</v>
      </c>
      <c r="U44" s="105">
        <f>(Table14[[#This Row],[Commercial Bid Price per case for NOI ($)]]-Table14[[#This Row],[Pass-Thru Value per case ($)]])+Table14[[#This Row],[Region 2: Fixed Fee Per Case ($)]]</f>
        <v>0</v>
      </c>
      <c r="V44" s="24" t="e">
        <f>(Table14[[#This Row],[Commercial Bid Price per case for NOI ($)]]+Table14[[#This Row],[Region 2: Fixed Fee Per Case ($)]])/Table14[[#This Row],['# of CN Servings per case]]</f>
        <v>#DIV/0!</v>
      </c>
      <c r="W44" s="20" t="e">
        <f>Table14[[#This Row],[Total Cost Per Serving (N+P)/I]]*Table14[[#This Row],[Estimated Servings Annual]]</f>
        <v>#DIV/0!</v>
      </c>
    </row>
    <row r="45" spans="1:23" x14ac:dyDescent="0.25">
      <c r="A45" s="79" t="s">
        <v>27</v>
      </c>
      <c r="B45" s="81" t="s">
        <v>105</v>
      </c>
      <c r="C45" s="74" t="s">
        <v>109</v>
      </c>
      <c r="D45" s="75"/>
      <c r="E45" s="75"/>
      <c r="F45" s="75"/>
      <c r="G45" s="75"/>
      <c r="H45" s="75"/>
      <c r="I45" s="75"/>
      <c r="J45" s="86">
        <v>100000</v>
      </c>
      <c r="K45" s="75"/>
      <c r="L45" s="75"/>
      <c r="M45" s="75"/>
      <c r="N45" s="75"/>
      <c r="O45" s="75"/>
      <c r="P45" s="75"/>
      <c r="Q45" s="99"/>
      <c r="R45" s="105">
        <f>(Table14[[#This Row],[Commercial Bid Price per case for NOI ($)]]-Table14[[#This Row],[Pass-Thru Value per case ($)]])+Table14[[#This Row],[Region 1: Fixed Fee Per Case ($)]]</f>
        <v>0</v>
      </c>
      <c r="S45" s="24" t="e">
        <f>(Table14[[#This Row],[Commercial Bid Price per case for NOI ($)]]+Table14[[#This Row],[Region 1: Fixed Fee Per Case ($)]])/Table14[[#This Row],['# of CN Servings per case]]</f>
        <v>#DIV/0!</v>
      </c>
      <c r="T45" s="20" t="e">
        <f>Table14[[#This Row],[Total Cost Per Serving (N+O)/I]]*Table14[[#This Row],[Estimated Servings Annual]]</f>
        <v>#DIV/0!</v>
      </c>
      <c r="U45" s="105">
        <f>(Table14[[#This Row],[Commercial Bid Price per case for NOI ($)]]-Table14[[#This Row],[Pass-Thru Value per case ($)]])+Table14[[#This Row],[Region 2: Fixed Fee Per Case ($)]]</f>
        <v>0</v>
      </c>
      <c r="V45" s="24" t="e">
        <f>(Table14[[#This Row],[Commercial Bid Price per case for NOI ($)]]+Table14[[#This Row],[Region 2: Fixed Fee Per Case ($)]])/Table14[[#This Row],['# of CN Servings per case]]</f>
        <v>#DIV/0!</v>
      </c>
      <c r="W45" s="20" t="e">
        <f>Table14[[#This Row],[Total Cost Per Serving (N+P)/I]]*Table14[[#This Row],[Estimated Servings Annual]]</f>
        <v>#DIV/0!</v>
      </c>
    </row>
    <row r="46" spans="1:23" x14ac:dyDescent="0.25">
      <c r="A46" s="79" t="s">
        <v>27</v>
      </c>
      <c r="B46" s="81" t="s">
        <v>105</v>
      </c>
      <c r="C46" s="74" t="s">
        <v>109</v>
      </c>
      <c r="D46" s="75"/>
      <c r="E46" s="75"/>
      <c r="F46" s="75"/>
      <c r="G46" s="75"/>
      <c r="H46" s="75"/>
      <c r="I46" s="75"/>
      <c r="J46" s="86">
        <v>100000</v>
      </c>
      <c r="K46" s="75"/>
      <c r="L46" s="75"/>
      <c r="M46" s="75"/>
      <c r="N46" s="75"/>
      <c r="O46" s="75"/>
      <c r="P46" s="75"/>
      <c r="Q46" s="99"/>
      <c r="R46" s="105">
        <f>(Table14[[#This Row],[Commercial Bid Price per case for NOI ($)]]-Table14[[#This Row],[Pass-Thru Value per case ($)]])+Table14[[#This Row],[Region 1: Fixed Fee Per Case ($)]]</f>
        <v>0</v>
      </c>
      <c r="S46" s="24" t="e">
        <f>(Table14[[#This Row],[Commercial Bid Price per case for NOI ($)]]+Table14[[#This Row],[Region 1: Fixed Fee Per Case ($)]])/Table14[[#This Row],['# of CN Servings per case]]</f>
        <v>#DIV/0!</v>
      </c>
      <c r="T46" s="20" t="e">
        <f>Table14[[#This Row],[Total Cost Per Serving (N+O)/I]]*Table14[[#This Row],[Estimated Servings Annual]]</f>
        <v>#DIV/0!</v>
      </c>
      <c r="U46" s="105">
        <f>(Table14[[#This Row],[Commercial Bid Price per case for NOI ($)]]-Table14[[#This Row],[Pass-Thru Value per case ($)]])+Table14[[#This Row],[Region 2: Fixed Fee Per Case ($)]]</f>
        <v>0</v>
      </c>
      <c r="V46" s="24" t="e">
        <f>(Table14[[#This Row],[Commercial Bid Price per case for NOI ($)]]+Table14[[#This Row],[Region 2: Fixed Fee Per Case ($)]])/Table14[[#This Row],['# of CN Servings per case]]</f>
        <v>#DIV/0!</v>
      </c>
      <c r="W46" s="20" t="e">
        <f>Table14[[#This Row],[Total Cost Per Serving (N+P)/I]]*Table14[[#This Row],[Estimated Servings Annual]]</f>
        <v>#DIV/0!</v>
      </c>
    </row>
    <row r="47" spans="1:23" x14ac:dyDescent="0.25">
      <c r="A47" s="79" t="s">
        <v>27</v>
      </c>
      <c r="B47" s="81" t="s">
        <v>105</v>
      </c>
      <c r="C47" s="75" t="s">
        <v>13</v>
      </c>
      <c r="D47" s="75"/>
      <c r="E47" s="75"/>
      <c r="F47" s="75"/>
      <c r="G47" s="75"/>
      <c r="H47" s="75"/>
      <c r="I47" s="75"/>
      <c r="J47" s="86">
        <v>100000</v>
      </c>
      <c r="K47" s="75"/>
      <c r="L47" s="75"/>
      <c r="M47" s="75"/>
      <c r="N47" s="75"/>
      <c r="O47" s="75"/>
      <c r="P47" s="75"/>
      <c r="Q47" s="99"/>
      <c r="R47" s="105">
        <f>(Table14[[#This Row],[Commercial Bid Price per case for NOI ($)]]-Table14[[#This Row],[Pass-Thru Value per case ($)]])+Table14[[#This Row],[Region 1: Fixed Fee Per Case ($)]]</f>
        <v>0</v>
      </c>
      <c r="S47" s="24" t="e">
        <f>(Table14[[#This Row],[Commercial Bid Price per case for NOI ($)]]+Table14[[#This Row],[Region 1: Fixed Fee Per Case ($)]])/Table14[[#This Row],['# of CN Servings per case]]</f>
        <v>#DIV/0!</v>
      </c>
      <c r="T47" s="20" t="e">
        <f>Table14[[#This Row],[Total Cost Per Serving (N+O)/I]]*Table14[[#This Row],[Estimated Servings Annual]]</f>
        <v>#DIV/0!</v>
      </c>
      <c r="U47" s="105">
        <f>(Table14[[#This Row],[Commercial Bid Price per case for NOI ($)]]-Table14[[#This Row],[Pass-Thru Value per case ($)]])+Table14[[#This Row],[Region 2: Fixed Fee Per Case ($)]]</f>
        <v>0</v>
      </c>
      <c r="V47" s="24" t="e">
        <f>(Table14[[#This Row],[Commercial Bid Price per case for NOI ($)]]+Table14[[#This Row],[Region 2: Fixed Fee Per Case ($)]])/Table14[[#This Row],['# of CN Servings per case]]</f>
        <v>#DIV/0!</v>
      </c>
      <c r="W47" s="20" t="e">
        <f>Table14[[#This Row],[Total Cost Per Serving (N+P)/I]]*Table14[[#This Row],[Estimated Servings Annual]]</f>
        <v>#DIV/0!</v>
      </c>
    </row>
    <row r="48" spans="1:23" x14ac:dyDescent="0.25">
      <c r="A48" s="79" t="s">
        <v>27</v>
      </c>
      <c r="B48" s="81" t="s">
        <v>105</v>
      </c>
      <c r="C48" s="75" t="s">
        <v>13</v>
      </c>
      <c r="D48" s="75"/>
      <c r="E48" s="75"/>
      <c r="F48" s="75"/>
      <c r="G48" s="75"/>
      <c r="H48" s="75"/>
      <c r="I48" s="75"/>
      <c r="J48" s="86">
        <v>100000</v>
      </c>
      <c r="K48" s="75"/>
      <c r="L48" s="75"/>
      <c r="M48" s="75"/>
      <c r="N48" s="75"/>
      <c r="O48" s="75"/>
      <c r="P48" s="75"/>
      <c r="Q48" s="99"/>
      <c r="R48" s="105">
        <f>(Table14[[#This Row],[Commercial Bid Price per case for NOI ($)]]-Table14[[#This Row],[Pass-Thru Value per case ($)]])+Table14[[#This Row],[Region 1: Fixed Fee Per Case ($)]]</f>
        <v>0</v>
      </c>
      <c r="S48" s="24" t="e">
        <f>(Table14[[#This Row],[Commercial Bid Price per case for NOI ($)]]+Table14[[#This Row],[Region 1: Fixed Fee Per Case ($)]])/Table14[[#This Row],['# of CN Servings per case]]</f>
        <v>#DIV/0!</v>
      </c>
      <c r="T48" s="20" t="e">
        <f>Table14[[#This Row],[Total Cost Per Serving (N+O)/I]]*Table14[[#This Row],[Estimated Servings Annual]]</f>
        <v>#DIV/0!</v>
      </c>
      <c r="U48" s="105">
        <f>(Table14[[#This Row],[Commercial Bid Price per case for NOI ($)]]-Table14[[#This Row],[Pass-Thru Value per case ($)]])+Table14[[#This Row],[Region 2: Fixed Fee Per Case ($)]]</f>
        <v>0</v>
      </c>
      <c r="V48" s="24" t="e">
        <f>(Table14[[#This Row],[Commercial Bid Price per case for NOI ($)]]+Table14[[#This Row],[Region 2: Fixed Fee Per Case ($)]])/Table14[[#This Row],['# of CN Servings per case]]</f>
        <v>#DIV/0!</v>
      </c>
      <c r="W48" s="20" t="e">
        <f>Table14[[#This Row],[Total Cost Per Serving (N+P)/I]]*Table14[[#This Row],[Estimated Servings Annual]]</f>
        <v>#DIV/0!</v>
      </c>
    </row>
    <row r="49" spans="1:23" x14ac:dyDescent="0.25">
      <c r="A49" s="79" t="s">
        <v>27</v>
      </c>
      <c r="B49" s="81" t="s">
        <v>105</v>
      </c>
      <c r="C49" s="75" t="s">
        <v>13</v>
      </c>
      <c r="D49" s="75"/>
      <c r="E49" s="75"/>
      <c r="F49" s="75"/>
      <c r="G49" s="75"/>
      <c r="H49" s="75"/>
      <c r="I49" s="75"/>
      <c r="J49" s="86">
        <v>100000</v>
      </c>
      <c r="K49" s="75"/>
      <c r="L49" s="75"/>
      <c r="M49" s="75"/>
      <c r="N49" s="75"/>
      <c r="O49" s="75"/>
      <c r="P49" s="75"/>
      <c r="Q49" s="99"/>
      <c r="R49" s="105">
        <f>(Table14[[#This Row],[Commercial Bid Price per case for NOI ($)]]-Table14[[#This Row],[Pass-Thru Value per case ($)]])+Table14[[#This Row],[Region 1: Fixed Fee Per Case ($)]]</f>
        <v>0</v>
      </c>
      <c r="S49" s="24" t="e">
        <f>(Table14[[#This Row],[Commercial Bid Price per case for NOI ($)]]+Table14[[#This Row],[Region 1: Fixed Fee Per Case ($)]])/Table14[[#This Row],['# of CN Servings per case]]</f>
        <v>#DIV/0!</v>
      </c>
      <c r="T49" s="20" t="e">
        <f>Table14[[#This Row],[Total Cost Per Serving (N+O)/I]]*Table14[[#This Row],[Estimated Servings Annual]]</f>
        <v>#DIV/0!</v>
      </c>
      <c r="U49" s="105">
        <f>(Table14[[#This Row],[Commercial Bid Price per case for NOI ($)]]-Table14[[#This Row],[Pass-Thru Value per case ($)]])+Table14[[#This Row],[Region 2: Fixed Fee Per Case ($)]]</f>
        <v>0</v>
      </c>
      <c r="V49" s="24" t="e">
        <f>(Table14[[#This Row],[Commercial Bid Price per case for NOI ($)]]+Table14[[#This Row],[Region 2: Fixed Fee Per Case ($)]])/Table14[[#This Row],['# of CN Servings per case]]</f>
        <v>#DIV/0!</v>
      </c>
      <c r="W49" s="20" t="e">
        <f>Table14[[#This Row],[Total Cost Per Serving (N+P)/I]]*Table14[[#This Row],[Estimated Servings Annual]]</f>
        <v>#DIV/0!</v>
      </c>
    </row>
    <row r="50" spans="1:23" ht="15.75" thickBot="1" x14ac:dyDescent="0.3">
      <c r="A50" s="79" t="s">
        <v>27</v>
      </c>
      <c r="B50" s="82" t="s">
        <v>105</v>
      </c>
      <c r="C50" s="76" t="s">
        <v>13</v>
      </c>
      <c r="D50" s="76"/>
      <c r="E50" s="76"/>
      <c r="F50" s="76"/>
      <c r="G50" s="76"/>
      <c r="H50" s="76"/>
      <c r="I50" s="76"/>
      <c r="J50" s="87">
        <v>100000</v>
      </c>
      <c r="K50" s="76"/>
      <c r="L50" s="76"/>
      <c r="M50" s="76"/>
      <c r="N50" s="76"/>
      <c r="O50" s="76"/>
      <c r="P50" s="76"/>
      <c r="Q50" s="100"/>
      <c r="R50" s="106">
        <f>(Table14[[#This Row],[Commercial Bid Price per case for NOI ($)]]-Table14[[#This Row],[Pass-Thru Value per case ($)]])+Table14[[#This Row],[Region 1: Fixed Fee Per Case ($)]]</f>
        <v>0</v>
      </c>
      <c r="S50" s="25" t="e">
        <f>(Table14[[#This Row],[Commercial Bid Price per case for NOI ($)]]+Table14[[#This Row],[Region 1: Fixed Fee Per Case ($)]])/Table14[[#This Row],['# of CN Servings per case]]</f>
        <v>#DIV/0!</v>
      </c>
      <c r="T50" s="23" t="e">
        <f>Table14[[#This Row],[Total Cost Per Serving (N+O)/I]]*Table14[[#This Row],[Estimated Servings Annual]]</f>
        <v>#DIV/0!</v>
      </c>
      <c r="U50" s="106">
        <f>(Table14[[#This Row],[Commercial Bid Price per case for NOI ($)]]-Table14[[#This Row],[Pass-Thru Value per case ($)]])+Table14[[#This Row],[Region 2: Fixed Fee Per Case ($)]]</f>
        <v>0</v>
      </c>
      <c r="V50" s="25" t="e">
        <f>(Table14[[#This Row],[Commercial Bid Price per case for NOI ($)]]+Table14[[#This Row],[Region 2: Fixed Fee Per Case ($)]])/Table14[[#This Row],['# of CN Servings per case]]</f>
        <v>#DIV/0!</v>
      </c>
      <c r="W50" s="23" t="e">
        <f>Table14[[#This Row],[Total Cost Per Serving (N+P)/I]]*Table14[[#This Row],[Estimated Servings Annual]]</f>
        <v>#DIV/0!</v>
      </c>
    </row>
  </sheetData>
  <mergeCells count="3">
    <mergeCell ref="E1:G1"/>
    <mergeCell ref="R1:T1"/>
    <mergeCell ref="U1:W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4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V3" sqref="V3"/>
    </sheetView>
  </sheetViews>
  <sheetFormatPr defaultRowHeight="15" x14ac:dyDescent="0.25"/>
  <cols>
    <col min="1" max="1" width="11.140625" bestFit="1" customWidth="1"/>
    <col min="2" max="2" width="29.85546875" bestFit="1" customWidth="1"/>
    <col min="3" max="3" width="22" bestFit="1" customWidth="1"/>
    <col min="4" max="4" width="21.7109375" bestFit="1" customWidth="1"/>
    <col min="5" max="5" width="21" bestFit="1" customWidth="1"/>
    <col min="6" max="6" width="15.5703125" bestFit="1" customWidth="1"/>
    <col min="7" max="7" width="20.42578125" bestFit="1" customWidth="1"/>
    <col min="8" max="8" width="14.28515625" bestFit="1" customWidth="1"/>
    <col min="9" max="9" width="17.5703125" bestFit="1" customWidth="1"/>
    <col min="10" max="10" width="17.5703125" style="90" bestFit="1" customWidth="1"/>
    <col min="11" max="11" width="21.5703125" bestFit="1" customWidth="1"/>
    <col min="12" max="12" width="18.5703125" bestFit="1" customWidth="1"/>
    <col min="13" max="13" width="17.5703125" bestFit="1" customWidth="1"/>
    <col min="14" max="14" width="18.5703125" bestFit="1" customWidth="1"/>
    <col min="15" max="15" width="17.42578125" customWidth="1"/>
    <col min="16" max="16" width="17.5703125" bestFit="1" customWidth="1"/>
    <col min="17" max="18" width="18.28515625" bestFit="1" customWidth="1"/>
    <col min="19" max="19" width="17.140625" bestFit="1" customWidth="1"/>
    <col min="20" max="20" width="15.5703125" customWidth="1"/>
    <col min="21" max="21" width="18.28515625" bestFit="1" customWidth="1"/>
    <col min="22" max="22" width="16.85546875" bestFit="1" customWidth="1"/>
    <col min="23" max="23" width="15.5703125" bestFit="1" customWidth="1"/>
  </cols>
  <sheetData>
    <row r="1" spans="1:23" x14ac:dyDescent="0.25">
      <c r="D1" s="1" t="s">
        <v>149</v>
      </c>
      <c r="E1" s="137" t="str">
        <f>Instructions!A2</f>
        <v xml:space="preserve"> </v>
      </c>
      <c r="F1" s="137"/>
      <c r="G1" s="137"/>
      <c r="Q1" s="121"/>
      <c r="R1" s="138" t="s">
        <v>167</v>
      </c>
      <c r="S1" s="139"/>
      <c r="T1" s="140"/>
      <c r="U1" s="141" t="s">
        <v>168</v>
      </c>
      <c r="V1" s="142"/>
      <c r="W1" s="143"/>
    </row>
    <row r="2" spans="1:23" s="1" customFormat="1" ht="45.75" thickBot="1" x14ac:dyDescent="0.3">
      <c r="A2" s="1" t="s">
        <v>14</v>
      </c>
      <c r="B2" s="1" t="s">
        <v>3</v>
      </c>
      <c r="C2" s="1" t="s">
        <v>23</v>
      </c>
      <c r="D2" s="1" t="s">
        <v>154</v>
      </c>
      <c r="E2" s="1" t="s">
        <v>0</v>
      </c>
      <c r="F2" s="1" t="s">
        <v>4</v>
      </c>
      <c r="G2" s="1" t="s">
        <v>20</v>
      </c>
      <c r="H2" s="1" t="s">
        <v>1</v>
      </c>
      <c r="I2" s="1" t="s">
        <v>5</v>
      </c>
      <c r="J2" s="91" t="s">
        <v>6</v>
      </c>
      <c r="K2" s="1" t="s">
        <v>2</v>
      </c>
      <c r="L2" s="1" t="s">
        <v>21</v>
      </c>
      <c r="M2" s="71" t="s">
        <v>153</v>
      </c>
      <c r="N2" s="1" t="s">
        <v>22</v>
      </c>
      <c r="O2" s="71" t="s">
        <v>165</v>
      </c>
      <c r="P2" s="71" t="s">
        <v>166</v>
      </c>
      <c r="Q2" s="71" t="s">
        <v>19</v>
      </c>
      <c r="R2" s="101" t="s">
        <v>162</v>
      </c>
      <c r="S2" s="102" t="s">
        <v>163</v>
      </c>
      <c r="T2" s="103" t="s">
        <v>171</v>
      </c>
      <c r="U2" s="101" t="s">
        <v>169</v>
      </c>
      <c r="V2" s="102" t="s">
        <v>170</v>
      </c>
      <c r="W2" s="103" t="s">
        <v>172</v>
      </c>
    </row>
    <row r="3" spans="1:23" x14ac:dyDescent="0.25">
      <c r="A3" s="37" t="s">
        <v>29</v>
      </c>
      <c r="B3" s="2" t="s">
        <v>30</v>
      </c>
      <c r="C3" s="3" t="s">
        <v>145</v>
      </c>
      <c r="D3" s="4"/>
      <c r="E3" s="4"/>
      <c r="F3" s="4"/>
      <c r="G3" s="4"/>
      <c r="H3" s="4"/>
      <c r="I3" s="4"/>
      <c r="J3" s="92">
        <v>450000</v>
      </c>
      <c r="K3" s="4"/>
      <c r="L3" s="4"/>
      <c r="M3" s="4"/>
      <c r="N3" s="4"/>
      <c r="O3" s="4"/>
      <c r="P3" s="4"/>
      <c r="Q3" s="109"/>
      <c r="R3" s="104">
        <f>(Table1[[#This Row],[Commercial Bid Price per case for NOI ($)]]-Table1[[#This Row],[Pass-Thru Value per case ($)]])+Table1[[#This Row],[Region 1: Fixed Fee Per Case ($)]]</f>
        <v>0</v>
      </c>
      <c r="S3" s="16" t="e">
        <f>(Table1[[#This Row],[Commercial Bid Price per case for NOI ($)]]+Table1[[#This Row],[Region 1: Fixed Fee Per Case ($)]])/Table1[[#This Row],['# of CN Servings per case]]</f>
        <v>#DIV/0!</v>
      </c>
      <c r="T3" s="17" t="e">
        <f>Table1[[#This Row],[Total Cost Per Serving (N+O)/I]]*Table1[[#This Row],[Estimated Servings Annual]]</f>
        <v>#DIV/0!</v>
      </c>
      <c r="U3" s="104">
        <f>(Table1[[#This Row],[Commercial Bid Price per case for NOI ($)]]-Table1[[#This Row],[Pass-Thru Value per case ($)]])+Table1[[#This Row],[Region 2: Fixed Fee Per Case ($)]]</f>
        <v>0</v>
      </c>
      <c r="V3" s="15" t="e">
        <f>(Table1[[#This Row],[Commercial Bid Price per case for NOI ($)]]+Table1[[#This Row],[Region 2: Fixed Fee Per Case ($)]])/Table1[[#This Row],['# of CN Servings per case]]</f>
        <v>#DIV/0!</v>
      </c>
      <c r="W3" s="115" t="e">
        <f>Table1[[#This Row],[Total Cost Per Serving (N+P)/I]]*Table1[[#This Row],[Estimated Servings Annual]]</f>
        <v>#DIV/0!</v>
      </c>
    </row>
    <row r="4" spans="1:23" x14ac:dyDescent="0.25">
      <c r="A4" s="38" t="s">
        <v>29</v>
      </c>
      <c r="B4" s="5" t="s">
        <v>30</v>
      </c>
      <c r="C4" s="6" t="s">
        <v>145</v>
      </c>
      <c r="D4" s="7"/>
      <c r="E4" s="7"/>
      <c r="F4" s="7"/>
      <c r="G4" s="7"/>
      <c r="H4" s="7"/>
      <c r="I4" s="7"/>
      <c r="J4" s="93">
        <v>450000</v>
      </c>
      <c r="K4" s="7"/>
      <c r="L4" s="7"/>
      <c r="M4" s="7"/>
      <c r="N4" s="7"/>
      <c r="O4" s="7"/>
      <c r="P4" s="7"/>
      <c r="Q4" s="110"/>
      <c r="R4" s="105">
        <f>(Table1[[#This Row],[Commercial Bid Price per case for NOI ($)]]-Table1[[#This Row],[Pass-Thru Value per case ($)]])+Table1[[#This Row],[Region 1: Fixed Fee Per Case ($)]]</f>
        <v>0</v>
      </c>
      <c r="S4" s="19" t="e">
        <f>(Table1[[#This Row],[Commercial Bid Price per case for NOI ($)]]+Table1[[#This Row],[Region 1: Fixed Fee Per Case ($)]])/Table1[[#This Row],['# of CN Servings per case]]</f>
        <v>#DIV/0!</v>
      </c>
      <c r="T4" s="20" t="e">
        <f>Table1[[#This Row],[Total Cost Per Serving (N+O)/I]]*Table1[[#This Row],[Estimated Servings Annual]]</f>
        <v>#DIV/0!</v>
      </c>
      <c r="U4" s="105">
        <f>(Table1[[#This Row],[Commercial Bid Price per case for NOI ($)]]-Table1[[#This Row],[Pass-Thru Value per case ($)]])+Table1[[#This Row],[Region 2: Fixed Fee Per Case ($)]]</f>
        <v>0</v>
      </c>
      <c r="V4" s="18" t="e">
        <f>(Table1[[#This Row],[Commercial Bid Price per case for NOI ($)]]+Table1[[#This Row],[Region 2: Fixed Fee Per Case ($)]])/Table1[[#This Row],['# of CN Servings per case]]</f>
        <v>#DIV/0!</v>
      </c>
      <c r="W4" s="118" t="e">
        <f>Table1[[#This Row],[Total Cost Per Serving (N+P)/I]]*Table1[[#This Row],[Estimated Servings Annual]]</f>
        <v>#DIV/0!</v>
      </c>
    </row>
    <row r="5" spans="1:23" x14ac:dyDescent="0.25">
      <c r="A5" s="38" t="s">
        <v>29</v>
      </c>
      <c r="B5" s="5" t="s">
        <v>30</v>
      </c>
      <c r="C5" s="6" t="s">
        <v>146</v>
      </c>
      <c r="D5" s="7"/>
      <c r="E5" s="7"/>
      <c r="F5" s="7"/>
      <c r="G5" s="7"/>
      <c r="H5" s="7"/>
      <c r="I5" s="7"/>
      <c r="J5" s="93">
        <v>450000</v>
      </c>
      <c r="K5" s="7"/>
      <c r="L5" s="7"/>
      <c r="M5" s="7"/>
      <c r="N5" s="7"/>
      <c r="O5" s="7"/>
      <c r="P5" s="7"/>
      <c r="Q5" s="110"/>
      <c r="R5" s="105">
        <f>(Table1[[#This Row],[Commercial Bid Price per case for NOI ($)]]-Table1[[#This Row],[Pass-Thru Value per case ($)]])+Table1[[#This Row],[Region 1: Fixed Fee Per Case ($)]]</f>
        <v>0</v>
      </c>
      <c r="S5" s="19" t="e">
        <f>(Table1[[#This Row],[Commercial Bid Price per case for NOI ($)]]+Table1[[#This Row],[Region 1: Fixed Fee Per Case ($)]])/Table1[[#This Row],['# of CN Servings per case]]</f>
        <v>#DIV/0!</v>
      </c>
      <c r="T5" s="20" t="e">
        <f>Table1[[#This Row],[Total Cost Per Serving (N+O)/I]]*Table1[[#This Row],[Estimated Servings Annual]]</f>
        <v>#DIV/0!</v>
      </c>
      <c r="U5" s="105">
        <f>(Table1[[#This Row],[Commercial Bid Price per case for NOI ($)]]-Table1[[#This Row],[Pass-Thru Value per case ($)]])+Table1[[#This Row],[Region 2: Fixed Fee Per Case ($)]]</f>
        <v>0</v>
      </c>
      <c r="V5" s="18" t="e">
        <f>(Table1[[#This Row],[Commercial Bid Price per case for NOI ($)]]+Table1[[#This Row],[Region 2: Fixed Fee Per Case ($)]])/Table1[[#This Row],['# of CN Servings per case]]</f>
        <v>#DIV/0!</v>
      </c>
      <c r="W5" s="118" t="e">
        <f>Table1[[#This Row],[Total Cost Per Serving (N+P)/I]]*Table1[[#This Row],[Estimated Servings Annual]]</f>
        <v>#DIV/0!</v>
      </c>
    </row>
    <row r="6" spans="1:23" x14ac:dyDescent="0.25">
      <c r="A6" s="38" t="s">
        <v>29</v>
      </c>
      <c r="B6" s="5" t="s">
        <v>30</v>
      </c>
      <c r="C6" s="6" t="s">
        <v>146</v>
      </c>
      <c r="D6" s="7"/>
      <c r="E6" s="7"/>
      <c r="F6" s="7"/>
      <c r="G6" s="7"/>
      <c r="H6" s="7"/>
      <c r="I6" s="7"/>
      <c r="J6" s="93">
        <v>450000</v>
      </c>
      <c r="K6" s="7"/>
      <c r="L6" s="7"/>
      <c r="M6" s="7"/>
      <c r="N6" s="7"/>
      <c r="O6" s="7"/>
      <c r="P6" s="7"/>
      <c r="Q6" s="110"/>
      <c r="R6" s="105">
        <f>(Table1[[#This Row],[Commercial Bid Price per case for NOI ($)]]-Table1[[#This Row],[Pass-Thru Value per case ($)]])+Table1[[#This Row],[Region 1: Fixed Fee Per Case ($)]]</f>
        <v>0</v>
      </c>
      <c r="S6" s="19" t="e">
        <f>(Table1[[#This Row],[Commercial Bid Price per case for NOI ($)]]+Table1[[#This Row],[Region 1: Fixed Fee Per Case ($)]])/Table1[[#This Row],['# of CN Servings per case]]</f>
        <v>#DIV/0!</v>
      </c>
      <c r="T6" s="20" t="e">
        <f>Table1[[#This Row],[Total Cost Per Serving (N+O)/I]]*Table1[[#This Row],[Estimated Servings Annual]]</f>
        <v>#DIV/0!</v>
      </c>
      <c r="U6" s="105">
        <f>(Table1[[#This Row],[Commercial Bid Price per case for NOI ($)]]-Table1[[#This Row],[Pass-Thru Value per case ($)]])+Table1[[#This Row],[Region 2: Fixed Fee Per Case ($)]]</f>
        <v>0</v>
      </c>
      <c r="V6" s="18" t="e">
        <f>(Table1[[#This Row],[Commercial Bid Price per case for NOI ($)]]+Table1[[#This Row],[Region 2: Fixed Fee Per Case ($)]])/Table1[[#This Row],['# of CN Servings per case]]</f>
        <v>#DIV/0!</v>
      </c>
      <c r="W6" s="118" t="e">
        <f>Table1[[#This Row],[Total Cost Per Serving (N+P)/I]]*Table1[[#This Row],[Estimated Servings Annual]]</f>
        <v>#DIV/0!</v>
      </c>
    </row>
    <row r="7" spans="1:23" x14ac:dyDescent="0.25">
      <c r="A7" s="38" t="s">
        <v>29</v>
      </c>
      <c r="B7" s="5" t="s">
        <v>30</v>
      </c>
      <c r="C7" s="7" t="s">
        <v>13</v>
      </c>
      <c r="D7" s="7"/>
      <c r="E7" s="7"/>
      <c r="F7" s="7"/>
      <c r="G7" s="7"/>
      <c r="H7" s="7"/>
      <c r="I7" s="7"/>
      <c r="J7" s="93">
        <v>450000</v>
      </c>
      <c r="K7" s="7"/>
      <c r="L7" s="7"/>
      <c r="M7" s="7"/>
      <c r="N7" s="7"/>
      <c r="O7" s="7"/>
      <c r="P7" s="7"/>
      <c r="Q7" s="110"/>
      <c r="R7" s="105">
        <f>(Table1[[#This Row],[Commercial Bid Price per case for NOI ($)]]-Table1[[#This Row],[Pass-Thru Value per case ($)]])+Table1[[#This Row],[Region 1: Fixed Fee Per Case ($)]]</f>
        <v>0</v>
      </c>
      <c r="S7" s="19" t="e">
        <f>(Table1[[#This Row],[Commercial Bid Price per case for NOI ($)]]+Table1[[#This Row],[Region 1: Fixed Fee Per Case ($)]])/Table1[[#This Row],['# of CN Servings per case]]</f>
        <v>#DIV/0!</v>
      </c>
      <c r="T7" s="20" t="e">
        <f>Table1[[#This Row],[Total Cost Per Serving (N+O)/I]]*Table1[[#This Row],[Estimated Servings Annual]]</f>
        <v>#DIV/0!</v>
      </c>
      <c r="U7" s="105">
        <f>(Table1[[#This Row],[Commercial Bid Price per case for NOI ($)]]-Table1[[#This Row],[Pass-Thru Value per case ($)]])+Table1[[#This Row],[Region 2: Fixed Fee Per Case ($)]]</f>
        <v>0</v>
      </c>
      <c r="V7" s="18" t="e">
        <f>(Table1[[#This Row],[Commercial Bid Price per case for NOI ($)]]+Table1[[#This Row],[Region 2: Fixed Fee Per Case ($)]])/Table1[[#This Row],['# of CN Servings per case]]</f>
        <v>#DIV/0!</v>
      </c>
      <c r="W7" s="118" t="e">
        <f>Table1[[#This Row],[Total Cost Per Serving (N+P)/I]]*Table1[[#This Row],[Estimated Servings Annual]]</f>
        <v>#DIV/0!</v>
      </c>
    </row>
    <row r="8" spans="1:23" x14ac:dyDescent="0.25">
      <c r="A8" s="38" t="s">
        <v>29</v>
      </c>
      <c r="B8" s="5" t="s">
        <v>30</v>
      </c>
      <c r="C8" s="7" t="s">
        <v>13</v>
      </c>
      <c r="D8" s="7"/>
      <c r="E8" s="7"/>
      <c r="F8" s="7"/>
      <c r="G8" s="7"/>
      <c r="H8" s="7"/>
      <c r="I8" s="7"/>
      <c r="J8" s="93">
        <v>450000</v>
      </c>
      <c r="K8" s="7"/>
      <c r="L8" s="7"/>
      <c r="M8" s="7"/>
      <c r="N8" s="7"/>
      <c r="O8" s="7"/>
      <c r="P8" s="7"/>
      <c r="Q8" s="110"/>
      <c r="R8" s="105">
        <f>(Table1[[#This Row],[Commercial Bid Price per case for NOI ($)]]-Table1[[#This Row],[Pass-Thru Value per case ($)]])+Table1[[#This Row],[Region 1: Fixed Fee Per Case ($)]]</f>
        <v>0</v>
      </c>
      <c r="S8" s="19" t="e">
        <f>(Table1[[#This Row],[Commercial Bid Price per case for NOI ($)]]+Table1[[#This Row],[Region 1: Fixed Fee Per Case ($)]])/Table1[[#This Row],['# of CN Servings per case]]</f>
        <v>#DIV/0!</v>
      </c>
      <c r="T8" s="20" t="e">
        <f>Table1[[#This Row],[Total Cost Per Serving (N+O)/I]]*Table1[[#This Row],[Estimated Servings Annual]]</f>
        <v>#DIV/0!</v>
      </c>
      <c r="U8" s="105">
        <f>(Table1[[#This Row],[Commercial Bid Price per case for NOI ($)]]-Table1[[#This Row],[Pass-Thru Value per case ($)]])+Table1[[#This Row],[Region 2: Fixed Fee Per Case ($)]]</f>
        <v>0</v>
      </c>
      <c r="V8" s="18" t="e">
        <f>(Table1[[#This Row],[Commercial Bid Price per case for NOI ($)]]+Table1[[#This Row],[Region 2: Fixed Fee Per Case ($)]])/Table1[[#This Row],['# of CN Servings per case]]</f>
        <v>#DIV/0!</v>
      </c>
      <c r="W8" s="118" t="e">
        <f>Table1[[#This Row],[Total Cost Per Serving (N+P)/I]]*Table1[[#This Row],[Estimated Servings Annual]]</f>
        <v>#DIV/0!</v>
      </c>
    </row>
    <row r="9" spans="1:23" x14ac:dyDescent="0.25">
      <c r="A9" s="38" t="s">
        <v>29</v>
      </c>
      <c r="B9" s="5" t="s">
        <v>30</v>
      </c>
      <c r="C9" s="7" t="s">
        <v>13</v>
      </c>
      <c r="D9" s="7"/>
      <c r="E9" s="7"/>
      <c r="F9" s="7"/>
      <c r="G9" s="7"/>
      <c r="H9" s="7"/>
      <c r="I9" s="7"/>
      <c r="J9" s="93">
        <v>450000</v>
      </c>
      <c r="K9" s="7"/>
      <c r="L9" s="7"/>
      <c r="M9" s="7"/>
      <c r="N9" s="7"/>
      <c r="O9" s="7"/>
      <c r="P9" s="7"/>
      <c r="Q9" s="110"/>
      <c r="R9" s="105">
        <f>(Table1[[#This Row],[Commercial Bid Price per case for NOI ($)]]-Table1[[#This Row],[Pass-Thru Value per case ($)]])+Table1[[#This Row],[Region 1: Fixed Fee Per Case ($)]]</f>
        <v>0</v>
      </c>
      <c r="S9" s="19" t="e">
        <f>(Table1[[#This Row],[Commercial Bid Price per case for NOI ($)]]+Table1[[#This Row],[Region 1: Fixed Fee Per Case ($)]])/Table1[[#This Row],['# of CN Servings per case]]</f>
        <v>#DIV/0!</v>
      </c>
      <c r="T9" s="20" t="e">
        <f>Table1[[#This Row],[Total Cost Per Serving (N+O)/I]]*Table1[[#This Row],[Estimated Servings Annual]]</f>
        <v>#DIV/0!</v>
      </c>
      <c r="U9" s="105">
        <f>(Table1[[#This Row],[Commercial Bid Price per case for NOI ($)]]-Table1[[#This Row],[Pass-Thru Value per case ($)]])+Table1[[#This Row],[Region 2: Fixed Fee Per Case ($)]]</f>
        <v>0</v>
      </c>
      <c r="V9" s="18" t="e">
        <f>(Table1[[#This Row],[Commercial Bid Price per case for NOI ($)]]+Table1[[#This Row],[Region 2: Fixed Fee Per Case ($)]])/Table1[[#This Row],['# of CN Servings per case]]</f>
        <v>#DIV/0!</v>
      </c>
      <c r="W9" s="118" t="e">
        <f>Table1[[#This Row],[Total Cost Per Serving (N+P)/I]]*Table1[[#This Row],[Estimated Servings Annual]]</f>
        <v>#DIV/0!</v>
      </c>
    </row>
    <row r="10" spans="1:23" ht="15.75" thickBot="1" x14ac:dyDescent="0.3">
      <c r="A10" s="38" t="s">
        <v>29</v>
      </c>
      <c r="B10" s="8" t="s">
        <v>30</v>
      </c>
      <c r="C10" s="9" t="s">
        <v>13</v>
      </c>
      <c r="D10" s="9"/>
      <c r="E10" s="9"/>
      <c r="F10" s="9"/>
      <c r="G10" s="9"/>
      <c r="H10" s="9"/>
      <c r="I10" s="9"/>
      <c r="J10" s="94">
        <v>450000</v>
      </c>
      <c r="K10" s="9"/>
      <c r="L10" s="9"/>
      <c r="M10" s="9"/>
      <c r="N10" s="9"/>
      <c r="O10" s="9"/>
      <c r="P10" s="9"/>
      <c r="Q10" s="111"/>
      <c r="R10" s="106">
        <f>(Table1[[#This Row],[Commercial Bid Price per case for NOI ($)]]-Table1[[#This Row],[Pass-Thru Value per case ($)]])+Table1[[#This Row],[Region 1: Fixed Fee Per Case ($)]]</f>
        <v>0</v>
      </c>
      <c r="S10" s="22" t="e">
        <f>(Table1[[#This Row],[Commercial Bid Price per case for NOI ($)]]+Table1[[#This Row],[Region 1: Fixed Fee Per Case ($)]])/Table1[[#This Row],['# of CN Servings per case]]</f>
        <v>#DIV/0!</v>
      </c>
      <c r="T10" s="23" t="e">
        <f>Table1[[#This Row],[Total Cost Per Serving (N+O)/I]]*Table1[[#This Row],[Estimated Servings Annual]]</f>
        <v>#DIV/0!</v>
      </c>
      <c r="U10" s="106">
        <f>(Table1[[#This Row],[Commercial Bid Price per case for NOI ($)]]-Table1[[#This Row],[Pass-Thru Value per case ($)]])+Table1[[#This Row],[Region 2: Fixed Fee Per Case ($)]]</f>
        <v>0</v>
      </c>
      <c r="V10" s="21" t="e">
        <f>(Table1[[#This Row],[Commercial Bid Price per case for NOI ($)]]+Table1[[#This Row],[Region 2: Fixed Fee Per Case ($)]])/Table1[[#This Row],['# of CN Servings per case]]</f>
        <v>#DIV/0!</v>
      </c>
      <c r="W10" s="120" t="e">
        <f>Table1[[#This Row],[Total Cost Per Serving (N+P)/I]]*Table1[[#This Row],[Estimated Servings Annual]]</f>
        <v>#DIV/0!</v>
      </c>
    </row>
    <row r="11" spans="1:23" x14ac:dyDescent="0.25">
      <c r="A11" s="38" t="s">
        <v>29</v>
      </c>
      <c r="B11" s="2" t="s">
        <v>31</v>
      </c>
      <c r="C11" s="3" t="s">
        <v>145</v>
      </c>
      <c r="D11" s="4"/>
      <c r="E11" s="4"/>
      <c r="F11" s="4"/>
      <c r="G11" s="4"/>
      <c r="H11" s="4"/>
      <c r="I11" s="4"/>
      <c r="J11" s="92">
        <v>300000</v>
      </c>
      <c r="K11" s="4"/>
      <c r="L11" s="4"/>
      <c r="M11" s="4"/>
      <c r="N11" s="4"/>
      <c r="O11" s="4"/>
      <c r="P11" s="4"/>
      <c r="Q11" s="109"/>
      <c r="R11" s="104">
        <f>(Table1[[#This Row],[Commercial Bid Price per case for NOI ($)]]-Table1[[#This Row],[Pass-Thru Value per case ($)]])+Table1[[#This Row],[Region 1: Fixed Fee Per Case ($)]]</f>
        <v>0</v>
      </c>
      <c r="S11" s="16" t="e">
        <f>(Table1[[#This Row],[Commercial Bid Price per case for NOI ($)]]+Table1[[#This Row],[Region 1: Fixed Fee Per Case ($)]])/Table1[[#This Row],['# of CN Servings per case]]</f>
        <v>#DIV/0!</v>
      </c>
      <c r="T11" s="17" t="e">
        <f>Table1[[#This Row],[Total Cost Per Serving (N+O)/I]]*Table1[[#This Row],[Estimated Servings Annual]]</f>
        <v>#DIV/0!</v>
      </c>
      <c r="U11" s="104">
        <f>(Table1[[#This Row],[Commercial Bid Price per case for NOI ($)]]-Table1[[#This Row],[Pass-Thru Value per case ($)]])+Table1[[#This Row],[Region 2: Fixed Fee Per Case ($)]]</f>
        <v>0</v>
      </c>
      <c r="V11" s="15" t="e">
        <f>(Table1[[#This Row],[Commercial Bid Price per case for NOI ($)]]+Table1[[#This Row],[Region 2: Fixed Fee Per Case ($)]])/Table1[[#This Row],['# of CN Servings per case]]</f>
        <v>#DIV/0!</v>
      </c>
      <c r="W11" s="115" t="e">
        <f>Table1[[#This Row],[Total Cost Per Serving (N+P)/I]]*Table1[[#This Row],[Estimated Servings Annual]]</f>
        <v>#DIV/0!</v>
      </c>
    </row>
    <row r="12" spans="1:23" x14ac:dyDescent="0.25">
      <c r="A12" s="38" t="s">
        <v>29</v>
      </c>
      <c r="B12" s="5" t="s">
        <v>31</v>
      </c>
      <c r="C12" s="6" t="s">
        <v>145</v>
      </c>
      <c r="D12" s="7"/>
      <c r="E12" s="7"/>
      <c r="F12" s="7"/>
      <c r="G12" s="7"/>
      <c r="H12" s="7"/>
      <c r="I12" s="7"/>
      <c r="J12" s="93">
        <v>300000</v>
      </c>
      <c r="K12" s="7"/>
      <c r="L12" s="7"/>
      <c r="M12" s="7"/>
      <c r="N12" s="7"/>
      <c r="O12" s="7"/>
      <c r="P12" s="7"/>
      <c r="Q12" s="110"/>
      <c r="R12" s="105">
        <f>(Table1[[#This Row],[Commercial Bid Price per case for NOI ($)]]-Table1[[#This Row],[Pass-Thru Value per case ($)]])+Table1[[#This Row],[Region 1: Fixed Fee Per Case ($)]]</f>
        <v>0</v>
      </c>
      <c r="S12" s="19" t="e">
        <f>(Table1[[#This Row],[Commercial Bid Price per case for NOI ($)]]+Table1[[#This Row],[Region 1: Fixed Fee Per Case ($)]])/Table1[[#This Row],['# of CN Servings per case]]</f>
        <v>#DIV/0!</v>
      </c>
      <c r="T12" s="20" t="e">
        <f>Table1[[#This Row],[Total Cost Per Serving (N+O)/I]]*Table1[[#This Row],[Estimated Servings Annual]]</f>
        <v>#DIV/0!</v>
      </c>
      <c r="U12" s="105">
        <f>(Table1[[#This Row],[Commercial Bid Price per case for NOI ($)]]-Table1[[#This Row],[Pass-Thru Value per case ($)]])+Table1[[#This Row],[Region 2: Fixed Fee Per Case ($)]]</f>
        <v>0</v>
      </c>
      <c r="V12" s="18" t="e">
        <f>(Table1[[#This Row],[Commercial Bid Price per case for NOI ($)]]+Table1[[#This Row],[Region 2: Fixed Fee Per Case ($)]])/Table1[[#This Row],['# of CN Servings per case]]</f>
        <v>#DIV/0!</v>
      </c>
      <c r="W12" s="118" t="e">
        <f>Table1[[#This Row],[Total Cost Per Serving (N+P)/I]]*Table1[[#This Row],[Estimated Servings Annual]]</f>
        <v>#DIV/0!</v>
      </c>
    </row>
    <row r="13" spans="1:23" x14ac:dyDescent="0.25">
      <c r="A13" s="38" t="s">
        <v>29</v>
      </c>
      <c r="B13" s="5" t="s">
        <v>31</v>
      </c>
      <c r="C13" s="6" t="s">
        <v>146</v>
      </c>
      <c r="D13" s="7"/>
      <c r="E13" s="7"/>
      <c r="F13" s="7"/>
      <c r="G13" s="7"/>
      <c r="H13" s="7"/>
      <c r="I13" s="7"/>
      <c r="J13" s="93">
        <v>300000</v>
      </c>
      <c r="K13" s="7"/>
      <c r="L13" s="7"/>
      <c r="M13" s="7"/>
      <c r="N13" s="7"/>
      <c r="O13" s="7"/>
      <c r="P13" s="7"/>
      <c r="Q13" s="110"/>
      <c r="R13" s="105">
        <f>(Table1[[#This Row],[Commercial Bid Price per case for NOI ($)]]-Table1[[#This Row],[Pass-Thru Value per case ($)]])+Table1[[#This Row],[Region 1: Fixed Fee Per Case ($)]]</f>
        <v>0</v>
      </c>
      <c r="S13" s="19" t="e">
        <f>(Table1[[#This Row],[Commercial Bid Price per case for NOI ($)]]+Table1[[#This Row],[Region 1: Fixed Fee Per Case ($)]])/Table1[[#This Row],['# of CN Servings per case]]</f>
        <v>#DIV/0!</v>
      </c>
      <c r="T13" s="20" t="e">
        <f>Table1[[#This Row],[Total Cost Per Serving (N+O)/I]]*Table1[[#This Row],[Estimated Servings Annual]]</f>
        <v>#DIV/0!</v>
      </c>
      <c r="U13" s="105">
        <f>(Table1[[#This Row],[Commercial Bid Price per case for NOI ($)]]-Table1[[#This Row],[Pass-Thru Value per case ($)]])+Table1[[#This Row],[Region 2: Fixed Fee Per Case ($)]]</f>
        <v>0</v>
      </c>
      <c r="V13" s="18" t="e">
        <f>(Table1[[#This Row],[Commercial Bid Price per case for NOI ($)]]+Table1[[#This Row],[Region 2: Fixed Fee Per Case ($)]])/Table1[[#This Row],['# of CN Servings per case]]</f>
        <v>#DIV/0!</v>
      </c>
      <c r="W13" s="118" t="e">
        <f>Table1[[#This Row],[Total Cost Per Serving (N+P)/I]]*Table1[[#This Row],[Estimated Servings Annual]]</f>
        <v>#DIV/0!</v>
      </c>
    </row>
    <row r="14" spans="1:23" x14ac:dyDescent="0.25">
      <c r="A14" s="38" t="s">
        <v>29</v>
      </c>
      <c r="B14" s="5" t="s">
        <v>31</v>
      </c>
      <c r="C14" s="6" t="s">
        <v>146</v>
      </c>
      <c r="D14" s="7"/>
      <c r="E14" s="7"/>
      <c r="F14" s="7"/>
      <c r="G14" s="7"/>
      <c r="H14" s="7"/>
      <c r="I14" s="7"/>
      <c r="J14" s="93">
        <v>300000</v>
      </c>
      <c r="K14" s="7"/>
      <c r="L14" s="7"/>
      <c r="M14" s="7"/>
      <c r="N14" s="7"/>
      <c r="O14" s="7"/>
      <c r="P14" s="7"/>
      <c r="Q14" s="110"/>
      <c r="R14" s="105">
        <f>(Table1[[#This Row],[Commercial Bid Price per case for NOI ($)]]-Table1[[#This Row],[Pass-Thru Value per case ($)]])+Table1[[#This Row],[Region 1: Fixed Fee Per Case ($)]]</f>
        <v>0</v>
      </c>
      <c r="S14" s="19" t="e">
        <f>(Table1[[#This Row],[Commercial Bid Price per case for NOI ($)]]+Table1[[#This Row],[Region 1: Fixed Fee Per Case ($)]])/Table1[[#This Row],['# of CN Servings per case]]</f>
        <v>#DIV/0!</v>
      </c>
      <c r="T14" s="20" t="e">
        <f>Table1[[#This Row],[Total Cost Per Serving (N+O)/I]]*Table1[[#This Row],[Estimated Servings Annual]]</f>
        <v>#DIV/0!</v>
      </c>
      <c r="U14" s="105">
        <f>(Table1[[#This Row],[Commercial Bid Price per case for NOI ($)]]-Table1[[#This Row],[Pass-Thru Value per case ($)]])+Table1[[#This Row],[Region 2: Fixed Fee Per Case ($)]]</f>
        <v>0</v>
      </c>
      <c r="V14" s="18" t="e">
        <f>(Table1[[#This Row],[Commercial Bid Price per case for NOI ($)]]+Table1[[#This Row],[Region 2: Fixed Fee Per Case ($)]])/Table1[[#This Row],['# of CN Servings per case]]</f>
        <v>#DIV/0!</v>
      </c>
      <c r="W14" s="118" t="e">
        <f>Table1[[#This Row],[Total Cost Per Serving (N+P)/I]]*Table1[[#This Row],[Estimated Servings Annual]]</f>
        <v>#DIV/0!</v>
      </c>
    </row>
    <row r="15" spans="1:23" x14ac:dyDescent="0.25">
      <c r="A15" s="38" t="s">
        <v>29</v>
      </c>
      <c r="B15" s="5" t="s">
        <v>31</v>
      </c>
      <c r="C15" s="7" t="s">
        <v>13</v>
      </c>
      <c r="D15" s="7"/>
      <c r="E15" s="7"/>
      <c r="F15" s="7"/>
      <c r="G15" s="7"/>
      <c r="H15" s="7"/>
      <c r="I15" s="7"/>
      <c r="J15" s="93">
        <v>300000</v>
      </c>
      <c r="K15" s="7"/>
      <c r="L15" s="7"/>
      <c r="M15" s="7"/>
      <c r="N15" s="7"/>
      <c r="O15" s="7"/>
      <c r="P15" s="7"/>
      <c r="Q15" s="110"/>
      <c r="R15" s="105">
        <f>(Table1[[#This Row],[Commercial Bid Price per case for NOI ($)]]-Table1[[#This Row],[Pass-Thru Value per case ($)]])+Table1[[#This Row],[Region 1: Fixed Fee Per Case ($)]]</f>
        <v>0</v>
      </c>
      <c r="S15" s="19" t="e">
        <f>(Table1[[#This Row],[Commercial Bid Price per case for NOI ($)]]+Table1[[#This Row],[Region 1: Fixed Fee Per Case ($)]])/Table1[[#This Row],['# of CN Servings per case]]</f>
        <v>#DIV/0!</v>
      </c>
      <c r="T15" s="20" t="e">
        <f>Table1[[#This Row],[Total Cost Per Serving (N+O)/I]]*Table1[[#This Row],[Estimated Servings Annual]]</f>
        <v>#DIV/0!</v>
      </c>
      <c r="U15" s="105">
        <f>(Table1[[#This Row],[Commercial Bid Price per case for NOI ($)]]-Table1[[#This Row],[Pass-Thru Value per case ($)]])+Table1[[#This Row],[Region 2: Fixed Fee Per Case ($)]]</f>
        <v>0</v>
      </c>
      <c r="V15" s="18" t="e">
        <f>(Table1[[#This Row],[Commercial Bid Price per case for NOI ($)]]+Table1[[#This Row],[Region 2: Fixed Fee Per Case ($)]])/Table1[[#This Row],['# of CN Servings per case]]</f>
        <v>#DIV/0!</v>
      </c>
      <c r="W15" s="118" t="e">
        <f>Table1[[#This Row],[Total Cost Per Serving (N+P)/I]]*Table1[[#This Row],[Estimated Servings Annual]]</f>
        <v>#DIV/0!</v>
      </c>
    </row>
    <row r="16" spans="1:23" x14ac:dyDescent="0.25">
      <c r="A16" s="38" t="s">
        <v>29</v>
      </c>
      <c r="B16" s="5" t="s">
        <v>31</v>
      </c>
      <c r="C16" s="7" t="s">
        <v>13</v>
      </c>
      <c r="D16" s="7"/>
      <c r="E16" s="7"/>
      <c r="F16" s="7"/>
      <c r="G16" s="7"/>
      <c r="H16" s="7"/>
      <c r="I16" s="7"/>
      <c r="J16" s="93">
        <v>300000</v>
      </c>
      <c r="K16" s="7"/>
      <c r="L16" s="7"/>
      <c r="M16" s="7"/>
      <c r="N16" s="7"/>
      <c r="O16" s="7"/>
      <c r="P16" s="7"/>
      <c r="Q16" s="110"/>
      <c r="R16" s="105">
        <f>(Table1[[#This Row],[Commercial Bid Price per case for NOI ($)]]-Table1[[#This Row],[Pass-Thru Value per case ($)]])+Table1[[#This Row],[Region 1: Fixed Fee Per Case ($)]]</f>
        <v>0</v>
      </c>
      <c r="S16" s="19" t="e">
        <f>(Table1[[#This Row],[Commercial Bid Price per case for NOI ($)]]+Table1[[#This Row],[Region 1: Fixed Fee Per Case ($)]])/Table1[[#This Row],['# of CN Servings per case]]</f>
        <v>#DIV/0!</v>
      </c>
      <c r="T16" s="20" t="e">
        <f>Table1[[#This Row],[Total Cost Per Serving (N+O)/I]]*Table1[[#This Row],[Estimated Servings Annual]]</f>
        <v>#DIV/0!</v>
      </c>
      <c r="U16" s="105">
        <f>(Table1[[#This Row],[Commercial Bid Price per case for NOI ($)]]-Table1[[#This Row],[Pass-Thru Value per case ($)]])+Table1[[#This Row],[Region 2: Fixed Fee Per Case ($)]]</f>
        <v>0</v>
      </c>
      <c r="V16" s="18" t="e">
        <f>(Table1[[#This Row],[Commercial Bid Price per case for NOI ($)]]+Table1[[#This Row],[Region 2: Fixed Fee Per Case ($)]])/Table1[[#This Row],['# of CN Servings per case]]</f>
        <v>#DIV/0!</v>
      </c>
      <c r="W16" s="118" t="e">
        <f>Table1[[#This Row],[Total Cost Per Serving (N+P)/I]]*Table1[[#This Row],[Estimated Servings Annual]]</f>
        <v>#DIV/0!</v>
      </c>
    </row>
    <row r="17" spans="1:23" x14ac:dyDescent="0.25">
      <c r="A17" s="38" t="s">
        <v>29</v>
      </c>
      <c r="B17" s="5" t="s">
        <v>31</v>
      </c>
      <c r="C17" s="7" t="s">
        <v>13</v>
      </c>
      <c r="D17" s="7"/>
      <c r="E17" s="7"/>
      <c r="F17" s="7"/>
      <c r="G17" s="7"/>
      <c r="H17" s="7"/>
      <c r="I17" s="7"/>
      <c r="J17" s="93">
        <v>300000</v>
      </c>
      <c r="K17" s="7"/>
      <c r="L17" s="7"/>
      <c r="M17" s="7"/>
      <c r="N17" s="7"/>
      <c r="O17" s="7"/>
      <c r="P17" s="7"/>
      <c r="Q17" s="110"/>
      <c r="R17" s="105">
        <f>(Table1[[#This Row],[Commercial Bid Price per case for NOI ($)]]-Table1[[#This Row],[Pass-Thru Value per case ($)]])+Table1[[#This Row],[Region 1: Fixed Fee Per Case ($)]]</f>
        <v>0</v>
      </c>
      <c r="S17" s="19" t="e">
        <f>(Table1[[#This Row],[Commercial Bid Price per case for NOI ($)]]+Table1[[#This Row],[Region 1: Fixed Fee Per Case ($)]])/Table1[[#This Row],['# of CN Servings per case]]</f>
        <v>#DIV/0!</v>
      </c>
      <c r="T17" s="20" t="e">
        <f>Table1[[#This Row],[Total Cost Per Serving (N+O)/I]]*Table1[[#This Row],[Estimated Servings Annual]]</f>
        <v>#DIV/0!</v>
      </c>
      <c r="U17" s="105">
        <f>(Table1[[#This Row],[Commercial Bid Price per case for NOI ($)]]-Table1[[#This Row],[Pass-Thru Value per case ($)]])+Table1[[#This Row],[Region 2: Fixed Fee Per Case ($)]]</f>
        <v>0</v>
      </c>
      <c r="V17" s="18" t="e">
        <f>(Table1[[#This Row],[Commercial Bid Price per case for NOI ($)]]+Table1[[#This Row],[Region 2: Fixed Fee Per Case ($)]])/Table1[[#This Row],['# of CN Servings per case]]</f>
        <v>#DIV/0!</v>
      </c>
      <c r="W17" s="118" t="e">
        <f>Table1[[#This Row],[Total Cost Per Serving (N+P)/I]]*Table1[[#This Row],[Estimated Servings Annual]]</f>
        <v>#DIV/0!</v>
      </c>
    </row>
    <row r="18" spans="1:23" ht="15.75" thickBot="1" x14ac:dyDescent="0.3">
      <c r="A18" s="38" t="s">
        <v>29</v>
      </c>
      <c r="B18" s="8" t="s">
        <v>31</v>
      </c>
      <c r="C18" s="9" t="s">
        <v>13</v>
      </c>
      <c r="D18" s="9"/>
      <c r="E18" s="9"/>
      <c r="F18" s="9"/>
      <c r="G18" s="9"/>
      <c r="H18" s="9"/>
      <c r="I18" s="9"/>
      <c r="J18" s="94">
        <v>300000</v>
      </c>
      <c r="K18" s="9"/>
      <c r="L18" s="9"/>
      <c r="M18" s="9"/>
      <c r="N18" s="9"/>
      <c r="O18" s="9"/>
      <c r="P18" s="9"/>
      <c r="Q18" s="111"/>
      <c r="R18" s="106">
        <f>(Table1[[#This Row],[Commercial Bid Price per case for NOI ($)]]-Table1[[#This Row],[Pass-Thru Value per case ($)]])+Table1[[#This Row],[Region 1: Fixed Fee Per Case ($)]]</f>
        <v>0</v>
      </c>
      <c r="S18" s="22" t="e">
        <f>(Table1[[#This Row],[Commercial Bid Price per case for NOI ($)]]+Table1[[#This Row],[Region 1: Fixed Fee Per Case ($)]])/Table1[[#This Row],['# of CN Servings per case]]</f>
        <v>#DIV/0!</v>
      </c>
      <c r="T18" s="23" t="e">
        <f>Table1[[#This Row],[Total Cost Per Serving (N+O)/I]]*Table1[[#This Row],[Estimated Servings Annual]]</f>
        <v>#DIV/0!</v>
      </c>
      <c r="U18" s="106">
        <f>(Table1[[#This Row],[Commercial Bid Price per case for NOI ($)]]-Table1[[#This Row],[Pass-Thru Value per case ($)]])+Table1[[#This Row],[Region 2: Fixed Fee Per Case ($)]]</f>
        <v>0</v>
      </c>
      <c r="V18" s="21" t="e">
        <f>(Table1[[#This Row],[Commercial Bid Price per case for NOI ($)]]+Table1[[#This Row],[Region 2: Fixed Fee Per Case ($)]])/Table1[[#This Row],['# of CN Servings per case]]</f>
        <v>#DIV/0!</v>
      </c>
      <c r="W18" s="120" t="e">
        <f>Table1[[#This Row],[Total Cost Per Serving (N+P)/I]]*Table1[[#This Row],[Estimated Servings Annual]]</f>
        <v>#DIV/0!</v>
      </c>
    </row>
    <row r="19" spans="1:23" x14ac:dyDescent="0.25">
      <c r="A19" s="38" t="s">
        <v>29</v>
      </c>
      <c r="B19" s="2" t="s">
        <v>32</v>
      </c>
      <c r="C19" s="3" t="s">
        <v>145</v>
      </c>
      <c r="D19" s="4"/>
      <c r="E19" s="4"/>
      <c r="F19" s="4"/>
      <c r="G19" s="4"/>
      <c r="H19" s="4"/>
      <c r="I19" s="4"/>
      <c r="J19" s="92">
        <v>300000</v>
      </c>
      <c r="K19" s="4"/>
      <c r="L19" s="4"/>
      <c r="M19" s="4"/>
      <c r="N19" s="4"/>
      <c r="O19" s="4"/>
      <c r="P19" s="4"/>
      <c r="Q19" s="109"/>
      <c r="R19" s="104">
        <f>(Table1[[#This Row],[Commercial Bid Price per case for NOI ($)]]-Table1[[#This Row],[Pass-Thru Value per case ($)]])+Table1[[#This Row],[Region 1: Fixed Fee Per Case ($)]]</f>
        <v>0</v>
      </c>
      <c r="S19" s="16" t="e">
        <f>(Table1[[#This Row],[Commercial Bid Price per case for NOI ($)]]+Table1[[#This Row],[Region 1: Fixed Fee Per Case ($)]])/Table1[[#This Row],['# of CN Servings per case]]</f>
        <v>#DIV/0!</v>
      </c>
      <c r="T19" s="17" t="e">
        <f>Table1[[#This Row],[Total Cost Per Serving (N+O)/I]]*Table1[[#This Row],[Estimated Servings Annual]]</f>
        <v>#DIV/0!</v>
      </c>
      <c r="U19" s="104">
        <f>(Table1[[#This Row],[Commercial Bid Price per case for NOI ($)]]-Table1[[#This Row],[Pass-Thru Value per case ($)]])+Table1[[#This Row],[Region 2: Fixed Fee Per Case ($)]]</f>
        <v>0</v>
      </c>
      <c r="V19" s="15" t="e">
        <f>(Table1[[#This Row],[Commercial Bid Price per case for NOI ($)]]+Table1[[#This Row],[Region 2: Fixed Fee Per Case ($)]])/Table1[[#This Row],['# of CN Servings per case]]</f>
        <v>#DIV/0!</v>
      </c>
      <c r="W19" s="115" t="e">
        <f>Table1[[#This Row],[Total Cost Per Serving (N+P)/I]]*Table1[[#This Row],[Estimated Servings Annual]]</f>
        <v>#DIV/0!</v>
      </c>
    </row>
    <row r="20" spans="1:23" x14ac:dyDescent="0.25">
      <c r="A20" s="38" t="s">
        <v>29</v>
      </c>
      <c r="B20" s="5" t="s">
        <v>32</v>
      </c>
      <c r="C20" s="6" t="s">
        <v>145</v>
      </c>
      <c r="D20" s="7"/>
      <c r="E20" s="7"/>
      <c r="F20" s="7"/>
      <c r="G20" s="7"/>
      <c r="H20" s="7"/>
      <c r="I20" s="7"/>
      <c r="J20" s="93">
        <v>300000</v>
      </c>
      <c r="K20" s="7"/>
      <c r="L20" s="7"/>
      <c r="M20" s="7"/>
      <c r="N20" s="7"/>
      <c r="O20" s="7"/>
      <c r="P20" s="7"/>
      <c r="Q20" s="110"/>
      <c r="R20" s="105">
        <f>(Table1[[#This Row],[Commercial Bid Price per case for NOI ($)]]-Table1[[#This Row],[Pass-Thru Value per case ($)]])+Table1[[#This Row],[Region 1: Fixed Fee Per Case ($)]]</f>
        <v>0</v>
      </c>
      <c r="S20" s="19" t="e">
        <f>(Table1[[#This Row],[Commercial Bid Price per case for NOI ($)]]+Table1[[#This Row],[Region 1: Fixed Fee Per Case ($)]])/Table1[[#This Row],['# of CN Servings per case]]</f>
        <v>#DIV/0!</v>
      </c>
      <c r="T20" s="20" t="e">
        <f>Table1[[#This Row],[Total Cost Per Serving (N+O)/I]]*Table1[[#This Row],[Estimated Servings Annual]]</f>
        <v>#DIV/0!</v>
      </c>
      <c r="U20" s="105">
        <f>(Table1[[#This Row],[Commercial Bid Price per case for NOI ($)]]-Table1[[#This Row],[Pass-Thru Value per case ($)]])+Table1[[#This Row],[Region 2: Fixed Fee Per Case ($)]]</f>
        <v>0</v>
      </c>
      <c r="V20" s="18" t="e">
        <f>(Table1[[#This Row],[Commercial Bid Price per case for NOI ($)]]+Table1[[#This Row],[Region 2: Fixed Fee Per Case ($)]])/Table1[[#This Row],['# of CN Servings per case]]</f>
        <v>#DIV/0!</v>
      </c>
      <c r="W20" s="118" t="e">
        <f>Table1[[#This Row],[Total Cost Per Serving (N+P)/I]]*Table1[[#This Row],[Estimated Servings Annual]]</f>
        <v>#DIV/0!</v>
      </c>
    </row>
    <row r="21" spans="1:23" x14ac:dyDescent="0.25">
      <c r="A21" s="38" t="s">
        <v>29</v>
      </c>
      <c r="B21" s="5" t="s">
        <v>32</v>
      </c>
      <c r="C21" s="6" t="s">
        <v>146</v>
      </c>
      <c r="D21" s="7"/>
      <c r="E21" s="7"/>
      <c r="F21" s="7"/>
      <c r="G21" s="7"/>
      <c r="H21" s="7"/>
      <c r="I21" s="7"/>
      <c r="J21" s="93">
        <v>300000</v>
      </c>
      <c r="K21" s="7"/>
      <c r="L21" s="7"/>
      <c r="M21" s="7"/>
      <c r="N21" s="7"/>
      <c r="O21" s="7"/>
      <c r="P21" s="7"/>
      <c r="Q21" s="110"/>
      <c r="R21" s="105">
        <f>(Table1[[#This Row],[Commercial Bid Price per case for NOI ($)]]-Table1[[#This Row],[Pass-Thru Value per case ($)]])+Table1[[#This Row],[Region 1: Fixed Fee Per Case ($)]]</f>
        <v>0</v>
      </c>
      <c r="S21" s="19" t="e">
        <f>(Table1[[#This Row],[Commercial Bid Price per case for NOI ($)]]+Table1[[#This Row],[Region 1: Fixed Fee Per Case ($)]])/Table1[[#This Row],['# of CN Servings per case]]</f>
        <v>#DIV/0!</v>
      </c>
      <c r="T21" s="20" t="e">
        <f>Table1[[#This Row],[Total Cost Per Serving (N+O)/I]]*Table1[[#This Row],[Estimated Servings Annual]]</f>
        <v>#DIV/0!</v>
      </c>
      <c r="U21" s="105">
        <f>(Table1[[#This Row],[Commercial Bid Price per case for NOI ($)]]-Table1[[#This Row],[Pass-Thru Value per case ($)]])+Table1[[#This Row],[Region 2: Fixed Fee Per Case ($)]]</f>
        <v>0</v>
      </c>
      <c r="V21" s="18" t="e">
        <f>(Table1[[#This Row],[Commercial Bid Price per case for NOI ($)]]+Table1[[#This Row],[Region 2: Fixed Fee Per Case ($)]])/Table1[[#This Row],['# of CN Servings per case]]</f>
        <v>#DIV/0!</v>
      </c>
      <c r="W21" s="118" t="e">
        <f>Table1[[#This Row],[Total Cost Per Serving (N+P)/I]]*Table1[[#This Row],[Estimated Servings Annual]]</f>
        <v>#DIV/0!</v>
      </c>
    </row>
    <row r="22" spans="1:23" x14ac:dyDescent="0.25">
      <c r="A22" s="38" t="s">
        <v>29</v>
      </c>
      <c r="B22" s="5" t="s">
        <v>32</v>
      </c>
      <c r="C22" s="6" t="s">
        <v>146</v>
      </c>
      <c r="D22" s="7"/>
      <c r="E22" s="7"/>
      <c r="F22" s="7"/>
      <c r="G22" s="7"/>
      <c r="H22" s="7"/>
      <c r="I22" s="7"/>
      <c r="J22" s="93">
        <v>300000</v>
      </c>
      <c r="K22" s="7"/>
      <c r="L22" s="7"/>
      <c r="M22" s="7"/>
      <c r="N22" s="7"/>
      <c r="O22" s="7"/>
      <c r="P22" s="7"/>
      <c r="Q22" s="110"/>
      <c r="R22" s="105">
        <f>(Table1[[#This Row],[Commercial Bid Price per case for NOI ($)]]-Table1[[#This Row],[Pass-Thru Value per case ($)]])+Table1[[#This Row],[Region 1: Fixed Fee Per Case ($)]]</f>
        <v>0</v>
      </c>
      <c r="S22" s="19" t="e">
        <f>(Table1[[#This Row],[Commercial Bid Price per case for NOI ($)]]+Table1[[#This Row],[Region 1: Fixed Fee Per Case ($)]])/Table1[[#This Row],['# of CN Servings per case]]</f>
        <v>#DIV/0!</v>
      </c>
      <c r="T22" s="20" t="e">
        <f>Table1[[#This Row],[Total Cost Per Serving (N+O)/I]]*Table1[[#This Row],[Estimated Servings Annual]]</f>
        <v>#DIV/0!</v>
      </c>
      <c r="U22" s="105">
        <f>(Table1[[#This Row],[Commercial Bid Price per case for NOI ($)]]-Table1[[#This Row],[Pass-Thru Value per case ($)]])+Table1[[#This Row],[Region 2: Fixed Fee Per Case ($)]]</f>
        <v>0</v>
      </c>
      <c r="V22" s="18" t="e">
        <f>(Table1[[#This Row],[Commercial Bid Price per case for NOI ($)]]+Table1[[#This Row],[Region 2: Fixed Fee Per Case ($)]])/Table1[[#This Row],['# of CN Servings per case]]</f>
        <v>#DIV/0!</v>
      </c>
      <c r="W22" s="118" t="e">
        <f>Table1[[#This Row],[Total Cost Per Serving (N+P)/I]]*Table1[[#This Row],[Estimated Servings Annual]]</f>
        <v>#DIV/0!</v>
      </c>
    </row>
    <row r="23" spans="1:23" x14ac:dyDescent="0.25">
      <c r="A23" s="38" t="s">
        <v>29</v>
      </c>
      <c r="B23" s="5" t="s">
        <v>32</v>
      </c>
      <c r="C23" s="7" t="s">
        <v>13</v>
      </c>
      <c r="D23" s="7"/>
      <c r="E23" s="7"/>
      <c r="F23" s="7"/>
      <c r="G23" s="7"/>
      <c r="H23" s="7"/>
      <c r="I23" s="7"/>
      <c r="J23" s="93">
        <v>300000</v>
      </c>
      <c r="K23" s="7"/>
      <c r="L23" s="7"/>
      <c r="M23" s="7"/>
      <c r="N23" s="7"/>
      <c r="O23" s="7"/>
      <c r="P23" s="7"/>
      <c r="Q23" s="110"/>
      <c r="R23" s="105">
        <f>(Table1[[#This Row],[Commercial Bid Price per case for NOI ($)]]-Table1[[#This Row],[Pass-Thru Value per case ($)]])+Table1[[#This Row],[Region 1: Fixed Fee Per Case ($)]]</f>
        <v>0</v>
      </c>
      <c r="S23" s="19" t="e">
        <f>(Table1[[#This Row],[Commercial Bid Price per case for NOI ($)]]+Table1[[#This Row],[Region 1: Fixed Fee Per Case ($)]])/Table1[[#This Row],['# of CN Servings per case]]</f>
        <v>#DIV/0!</v>
      </c>
      <c r="T23" s="20" t="e">
        <f>Table1[[#This Row],[Total Cost Per Serving (N+O)/I]]*Table1[[#This Row],[Estimated Servings Annual]]</f>
        <v>#DIV/0!</v>
      </c>
      <c r="U23" s="105">
        <f>(Table1[[#This Row],[Commercial Bid Price per case for NOI ($)]]-Table1[[#This Row],[Pass-Thru Value per case ($)]])+Table1[[#This Row],[Region 2: Fixed Fee Per Case ($)]]</f>
        <v>0</v>
      </c>
      <c r="V23" s="18" t="e">
        <f>(Table1[[#This Row],[Commercial Bid Price per case for NOI ($)]]+Table1[[#This Row],[Region 2: Fixed Fee Per Case ($)]])/Table1[[#This Row],['# of CN Servings per case]]</f>
        <v>#DIV/0!</v>
      </c>
      <c r="W23" s="118" t="e">
        <f>Table1[[#This Row],[Total Cost Per Serving (N+P)/I]]*Table1[[#This Row],[Estimated Servings Annual]]</f>
        <v>#DIV/0!</v>
      </c>
    </row>
    <row r="24" spans="1:23" x14ac:dyDescent="0.25">
      <c r="A24" s="38" t="s">
        <v>29</v>
      </c>
      <c r="B24" s="5" t="s">
        <v>32</v>
      </c>
      <c r="C24" s="7" t="s">
        <v>13</v>
      </c>
      <c r="D24" s="7"/>
      <c r="E24" s="7"/>
      <c r="F24" s="7"/>
      <c r="G24" s="7"/>
      <c r="H24" s="7"/>
      <c r="I24" s="7"/>
      <c r="J24" s="93">
        <v>300000</v>
      </c>
      <c r="K24" s="7"/>
      <c r="L24" s="7"/>
      <c r="M24" s="7"/>
      <c r="N24" s="7"/>
      <c r="O24" s="7"/>
      <c r="P24" s="7"/>
      <c r="Q24" s="110"/>
      <c r="R24" s="105">
        <f>(Table1[[#This Row],[Commercial Bid Price per case for NOI ($)]]-Table1[[#This Row],[Pass-Thru Value per case ($)]])+Table1[[#This Row],[Region 1: Fixed Fee Per Case ($)]]</f>
        <v>0</v>
      </c>
      <c r="S24" s="19" t="e">
        <f>(Table1[[#This Row],[Commercial Bid Price per case for NOI ($)]]+Table1[[#This Row],[Region 1: Fixed Fee Per Case ($)]])/Table1[[#This Row],['# of CN Servings per case]]</f>
        <v>#DIV/0!</v>
      </c>
      <c r="T24" s="20" t="e">
        <f>Table1[[#This Row],[Total Cost Per Serving (N+O)/I]]*Table1[[#This Row],[Estimated Servings Annual]]</f>
        <v>#DIV/0!</v>
      </c>
      <c r="U24" s="105">
        <f>(Table1[[#This Row],[Commercial Bid Price per case for NOI ($)]]-Table1[[#This Row],[Pass-Thru Value per case ($)]])+Table1[[#This Row],[Region 2: Fixed Fee Per Case ($)]]</f>
        <v>0</v>
      </c>
      <c r="V24" s="18" t="e">
        <f>(Table1[[#This Row],[Commercial Bid Price per case for NOI ($)]]+Table1[[#This Row],[Region 2: Fixed Fee Per Case ($)]])/Table1[[#This Row],['# of CN Servings per case]]</f>
        <v>#DIV/0!</v>
      </c>
      <c r="W24" s="118" t="e">
        <f>Table1[[#This Row],[Total Cost Per Serving (N+P)/I]]*Table1[[#This Row],[Estimated Servings Annual]]</f>
        <v>#DIV/0!</v>
      </c>
    </row>
    <row r="25" spans="1:23" x14ac:dyDescent="0.25">
      <c r="A25" s="38" t="s">
        <v>29</v>
      </c>
      <c r="B25" s="5" t="s">
        <v>32</v>
      </c>
      <c r="C25" s="7" t="s">
        <v>13</v>
      </c>
      <c r="D25" s="7"/>
      <c r="E25" s="7"/>
      <c r="F25" s="7"/>
      <c r="G25" s="7"/>
      <c r="H25" s="7"/>
      <c r="I25" s="7"/>
      <c r="J25" s="93">
        <v>300000</v>
      </c>
      <c r="K25" s="7"/>
      <c r="L25" s="7"/>
      <c r="M25" s="7"/>
      <c r="N25" s="7"/>
      <c r="O25" s="7"/>
      <c r="P25" s="7"/>
      <c r="Q25" s="110"/>
      <c r="R25" s="105">
        <f>(Table1[[#This Row],[Commercial Bid Price per case for NOI ($)]]-Table1[[#This Row],[Pass-Thru Value per case ($)]])+Table1[[#This Row],[Region 1: Fixed Fee Per Case ($)]]</f>
        <v>0</v>
      </c>
      <c r="S25" s="19" t="e">
        <f>(Table1[[#This Row],[Commercial Bid Price per case for NOI ($)]]+Table1[[#This Row],[Region 1: Fixed Fee Per Case ($)]])/Table1[[#This Row],['# of CN Servings per case]]</f>
        <v>#DIV/0!</v>
      </c>
      <c r="T25" s="20" t="e">
        <f>Table1[[#This Row],[Total Cost Per Serving (N+O)/I]]*Table1[[#This Row],[Estimated Servings Annual]]</f>
        <v>#DIV/0!</v>
      </c>
      <c r="U25" s="105">
        <f>(Table1[[#This Row],[Commercial Bid Price per case for NOI ($)]]-Table1[[#This Row],[Pass-Thru Value per case ($)]])+Table1[[#This Row],[Region 2: Fixed Fee Per Case ($)]]</f>
        <v>0</v>
      </c>
      <c r="V25" s="18" t="e">
        <f>(Table1[[#This Row],[Commercial Bid Price per case for NOI ($)]]+Table1[[#This Row],[Region 2: Fixed Fee Per Case ($)]])/Table1[[#This Row],['# of CN Servings per case]]</f>
        <v>#DIV/0!</v>
      </c>
      <c r="W25" s="118" t="e">
        <f>Table1[[#This Row],[Total Cost Per Serving (N+P)/I]]*Table1[[#This Row],[Estimated Servings Annual]]</f>
        <v>#DIV/0!</v>
      </c>
    </row>
    <row r="26" spans="1:23" ht="15.75" thickBot="1" x14ac:dyDescent="0.3">
      <c r="A26" s="38" t="s">
        <v>29</v>
      </c>
      <c r="B26" s="8" t="s">
        <v>32</v>
      </c>
      <c r="C26" s="9" t="s">
        <v>13</v>
      </c>
      <c r="D26" s="9"/>
      <c r="E26" s="9"/>
      <c r="F26" s="9"/>
      <c r="G26" s="9"/>
      <c r="H26" s="9"/>
      <c r="I26" s="9"/>
      <c r="J26" s="94">
        <v>300000</v>
      </c>
      <c r="K26" s="9"/>
      <c r="L26" s="9"/>
      <c r="M26" s="9"/>
      <c r="N26" s="9"/>
      <c r="O26" s="9"/>
      <c r="P26" s="9"/>
      <c r="Q26" s="111"/>
      <c r="R26" s="106">
        <f>(Table1[[#This Row],[Commercial Bid Price per case for NOI ($)]]-Table1[[#This Row],[Pass-Thru Value per case ($)]])+Table1[[#This Row],[Region 1: Fixed Fee Per Case ($)]]</f>
        <v>0</v>
      </c>
      <c r="S26" s="22" t="e">
        <f>(Table1[[#This Row],[Commercial Bid Price per case for NOI ($)]]+Table1[[#This Row],[Region 1: Fixed Fee Per Case ($)]])/Table1[[#This Row],['# of CN Servings per case]]</f>
        <v>#DIV/0!</v>
      </c>
      <c r="T26" s="23" t="e">
        <f>Table1[[#This Row],[Total Cost Per Serving (N+O)/I]]*Table1[[#This Row],[Estimated Servings Annual]]</f>
        <v>#DIV/0!</v>
      </c>
      <c r="U26" s="106">
        <f>(Table1[[#This Row],[Commercial Bid Price per case for NOI ($)]]-Table1[[#This Row],[Pass-Thru Value per case ($)]])+Table1[[#This Row],[Region 2: Fixed Fee Per Case ($)]]</f>
        <v>0</v>
      </c>
      <c r="V26" s="21" t="e">
        <f>(Table1[[#This Row],[Commercial Bid Price per case for NOI ($)]]+Table1[[#This Row],[Region 2: Fixed Fee Per Case ($)]])/Table1[[#This Row],['# of CN Servings per case]]</f>
        <v>#DIV/0!</v>
      </c>
      <c r="W26" s="120" t="e">
        <f>Table1[[#This Row],[Total Cost Per Serving (N+P)/I]]*Table1[[#This Row],[Estimated Servings Annual]]</f>
        <v>#DIV/0!</v>
      </c>
    </row>
    <row r="27" spans="1:23" x14ac:dyDescent="0.25">
      <c r="A27" s="38" t="s">
        <v>29</v>
      </c>
      <c r="B27" s="2" t="s">
        <v>33</v>
      </c>
      <c r="C27" s="3" t="s">
        <v>145</v>
      </c>
      <c r="D27" s="4"/>
      <c r="E27" s="4"/>
      <c r="F27" s="4"/>
      <c r="G27" s="4"/>
      <c r="H27" s="4"/>
      <c r="I27" s="4"/>
      <c r="J27" s="92">
        <v>90000</v>
      </c>
      <c r="K27" s="4"/>
      <c r="L27" s="4"/>
      <c r="M27" s="4"/>
      <c r="N27" s="4"/>
      <c r="O27" s="4"/>
      <c r="P27" s="4"/>
      <c r="Q27" s="109"/>
      <c r="R27" s="104">
        <f>(Table1[[#This Row],[Commercial Bid Price per case for NOI ($)]]-Table1[[#This Row],[Pass-Thru Value per case ($)]])+Table1[[#This Row],[Region 1: Fixed Fee Per Case ($)]]</f>
        <v>0</v>
      </c>
      <c r="S27" s="16" t="e">
        <f>(Table1[[#This Row],[Commercial Bid Price per case for NOI ($)]]+Table1[[#This Row],[Region 1: Fixed Fee Per Case ($)]])/Table1[[#This Row],['# of CN Servings per case]]</f>
        <v>#DIV/0!</v>
      </c>
      <c r="T27" s="17" t="e">
        <f>Table1[[#This Row],[Total Cost Per Serving (N+O)/I]]*Table1[[#This Row],[Estimated Servings Annual]]</f>
        <v>#DIV/0!</v>
      </c>
      <c r="U27" s="104">
        <f>(Table1[[#This Row],[Commercial Bid Price per case for NOI ($)]]-Table1[[#This Row],[Pass-Thru Value per case ($)]])+Table1[[#This Row],[Region 2: Fixed Fee Per Case ($)]]</f>
        <v>0</v>
      </c>
      <c r="V27" s="15" t="e">
        <f>(Table1[[#This Row],[Commercial Bid Price per case for NOI ($)]]+Table1[[#This Row],[Region 2: Fixed Fee Per Case ($)]])/Table1[[#This Row],['# of CN Servings per case]]</f>
        <v>#DIV/0!</v>
      </c>
      <c r="W27" s="115" t="e">
        <f>Table1[[#This Row],[Total Cost Per Serving (N+P)/I]]*Table1[[#This Row],[Estimated Servings Annual]]</f>
        <v>#DIV/0!</v>
      </c>
    </row>
    <row r="28" spans="1:23" x14ac:dyDescent="0.25">
      <c r="A28" s="38" t="s">
        <v>29</v>
      </c>
      <c r="B28" s="5" t="s">
        <v>33</v>
      </c>
      <c r="C28" s="6" t="s">
        <v>145</v>
      </c>
      <c r="D28" s="7"/>
      <c r="E28" s="7"/>
      <c r="F28" s="7"/>
      <c r="G28" s="7"/>
      <c r="H28" s="7"/>
      <c r="I28" s="7"/>
      <c r="J28" s="93">
        <v>90000</v>
      </c>
      <c r="K28" s="7"/>
      <c r="L28" s="7"/>
      <c r="M28" s="7"/>
      <c r="N28" s="7"/>
      <c r="O28" s="7"/>
      <c r="P28" s="7"/>
      <c r="Q28" s="110"/>
      <c r="R28" s="105">
        <f>(Table1[[#This Row],[Commercial Bid Price per case for NOI ($)]]-Table1[[#This Row],[Pass-Thru Value per case ($)]])+Table1[[#This Row],[Region 1: Fixed Fee Per Case ($)]]</f>
        <v>0</v>
      </c>
      <c r="S28" s="19" t="e">
        <f>(Table1[[#This Row],[Commercial Bid Price per case for NOI ($)]]+Table1[[#This Row],[Region 1: Fixed Fee Per Case ($)]])/Table1[[#This Row],['# of CN Servings per case]]</f>
        <v>#DIV/0!</v>
      </c>
      <c r="T28" s="20" t="e">
        <f>Table1[[#This Row],[Total Cost Per Serving (N+O)/I]]*Table1[[#This Row],[Estimated Servings Annual]]</f>
        <v>#DIV/0!</v>
      </c>
      <c r="U28" s="105">
        <f>(Table1[[#This Row],[Commercial Bid Price per case for NOI ($)]]-Table1[[#This Row],[Pass-Thru Value per case ($)]])+Table1[[#This Row],[Region 2: Fixed Fee Per Case ($)]]</f>
        <v>0</v>
      </c>
      <c r="V28" s="18" t="e">
        <f>(Table1[[#This Row],[Commercial Bid Price per case for NOI ($)]]+Table1[[#This Row],[Region 2: Fixed Fee Per Case ($)]])/Table1[[#This Row],['# of CN Servings per case]]</f>
        <v>#DIV/0!</v>
      </c>
      <c r="W28" s="118" t="e">
        <f>Table1[[#This Row],[Total Cost Per Serving (N+P)/I]]*Table1[[#This Row],[Estimated Servings Annual]]</f>
        <v>#DIV/0!</v>
      </c>
    </row>
    <row r="29" spans="1:23" x14ac:dyDescent="0.25">
      <c r="A29" s="38" t="s">
        <v>29</v>
      </c>
      <c r="B29" s="5" t="s">
        <v>33</v>
      </c>
      <c r="C29" s="6" t="s">
        <v>146</v>
      </c>
      <c r="D29" s="7"/>
      <c r="E29" s="7"/>
      <c r="F29" s="7"/>
      <c r="G29" s="7"/>
      <c r="H29" s="7"/>
      <c r="I29" s="7"/>
      <c r="J29" s="93">
        <v>90000</v>
      </c>
      <c r="K29" s="7"/>
      <c r="L29" s="7"/>
      <c r="M29" s="7"/>
      <c r="N29" s="7"/>
      <c r="O29" s="7"/>
      <c r="P29" s="7"/>
      <c r="Q29" s="110"/>
      <c r="R29" s="105">
        <f>(Table1[[#This Row],[Commercial Bid Price per case for NOI ($)]]-Table1[[#This Row],[Pass-Thru Value per case ($)]])+Table1[[#This Row],[Region 1: Fixed Fee Per Case ($)]]</f>
        <v>0</v>
      </c>
      <c r="S29" s="19" t="e">
        <f>(Table1[[#This Row],[Commercial Bid Price per case for NOI ($)]]+Table1[[#This Row],[Region 1: Fixed Fee Per Case ($)]])/Table1[[#This Row],['# of CN Servings per case]]</f>
        <v>#DIV/0!</v>
      </c>
      <c r="T29" s="20" t="e">
        <f>Table1[[#This Row],[Total Cost Per Serving (N+O)/I]]*Table1[[#This Row],[Estimated Servings Annual]]</f>
        <v>#DIV/0!</v>
      </c>
      <c r="U29" s="105">
        <f>(Table1[[#This Row],[Commercial Bid Price per case for NOI ($)]]-Table1[[#This Row],[Pass-Thru Value per case ($)]])+Table1[[#This Row],[Region 2: Fixed Fee Per Case ($)]]</f>
        <v>0</v>
      </c>
      <c r="V29" s="18" t="e">
        <f>(Table1[[#This Row],[Commercial Bid Price per case for NOI ($)]]+Table1[[#This Row],[Region 2: Fixed Fee Per Case ($)]])/Table1[[#This Row],['# of CN Servings per case]]</f>
        <v>#DIV/0!</v>
      </c>
      <c r="W29" s="118" t="e">
        <f>Table1[[#This Row],[Total Cost Per Serving (N+P)/I]]*Table1[[#This Row],[Estimated Servings Annual]]</f>
        <v>#DIV/0!</v>
      </c>
    </row>
    <row r="30" spans="1:23" x14ac:dyDescent="0.25">
      <c r="A30" s="38" t="s">
        <v>29</v>
      </c>
      <c r="B30" s="5" t="s">
        <v>33</v>
      </c>
      <c r="C30" s="6" t="s">
        <v>146</v>
      </c>
      <c r="D30" s="7"/>
      <c r="E30" s="7"/>
      <c r="F30" s="7"/>
      <c r="G30" s="7"/>
      <c r="H30" s="7"/>
      <c r="I30" s="7"/>
      <c r="J30" s="93">
        <v>90000</v>
      </c>
      <c r="K30" s="7"/>
      <c r="L30" s="7"/>
      <c r="M30" s="7"/>
      <c r="N30" s="7"/>
      <c r="O30" s="7"/>
      <c r="P30" s="7"/>
      <c r="Q30" s="110"/>
      <c r="R30" s="105">
        <f>(Table1[[#This Row],[Commercial Bid Price per case for NOI ($)]]-Table1[[#This Row],[Pass-Thru Value per case ($)]])+Table1[[#This Row],[Region 1: Fixed Fee Per Case ($)]]</f>
        <v>0</v>
      </c>
      <c r="S30" s="19" t="e">
        <f>(Table1[[#This Row],[Commercial Bid Price per case for NOI ($)]]+Table1[[#This Row],[Region 1: Fixed Fee Per Case ($)]])/Table1[[#This Row],['# of CN Servings per case]]</f>
        <v>#DIV/0!</v>
      </c>
      <c r="T30" s="20" t="e">
        <f>Table1[[#This Row],[Total Cost Per Serving (N+O)/I]]*Table1[[#This Row],[Estimated Servings Annual]]</f>
        <v>#DIV/0!</v>
      </c>
      <c r="U30" s="105">
        <f>(Table1[[#This Row],[Commercial Bid Price per case for NOI ($)]]-Table1[[#This Row],[Pass-Thru Value per case ($)]])+Table1[[#This Row],[Region 2: Fixed Fee Per Case ($)]]</f>
        <v>0</v>
      </c>
      <c r="V30" s="18" t="e">
        <f>(Table1[[#This Row],[Commercial Bid Price per case for NOI ($)]]+Table1[[#This Row],[Region 2: Fixed Fee Per Case ($)]])/Table1[[#This Row],['# of CN Servings per case]]</f>
        <v>#DIV/0!</v>
      </c>
      <c r="W30" s="118" t="e">
        <f>Table1[[#This Row],[Total Cost Per Serving (N+P)/I]]*Table1[[#This Row],[Estimated Servings Annual]]</f>
        <v>#DIV/0!</v>
      </c>
    </row>
    <row r="31" spans="1:23" x14ac:dyDescent="0.25">
      <c r="A31" s="38" t="s">
        <v>29</v>
      </c>
      <c r="B31" s="5" t="s">
        <v>33</v>
      </c>
      <c r="C31" s="7" t="s">
        <v>13</v>
      </c>
      <c r="D31" s="7"/>
      <c r="E31" s="7"/>
      <c r="F31" s="7"/>
      <c r="G31" s="7"/>
      <c r="H31" s="7"/>
      <c r="I31" s="7"/>
      <c r="J31" s="93">
        <v>90000</v>
      </c>
      <c r="K31" s="7"/>
      <c r="L31" s="7"/>
      <c r="M31" s="7"/>
      <c r="N31" s="7"/>
      <c r="O31" s="7"/>
      <c r="P31" s="7"/>
      <c r="Q31" s="110"/>
      <c r="R31" s="105">
        <f>(Table1[[#This Row],[Commercial Bid Price per case for NOI ($)]]-Table1[[#This Row],[Pass-Thru Value per case ($)]])+Table1[[#This Row],[Region 1: Fixed Fee Per Case ($)]]</f>
        <v>0</v>
      </c>
      <c r="S31" s="19" t="e">
        <f>(Table1[[#This Row],[Commercial Bid Price per case for NOI ($)]]+Table1[[#This Row],[Region 1: Fixed Fee Per Case ($)]])/Table1[[#This Row],['# of CN Servings per case]]</f>
        <v>#DIV/0!</v>
      </c>
      <c r="T31" s="20" t="e">
        <f>Table1[[#This Row],[Total Cost Per Serving (N+O)/I]]*Table1[[#This Row],[Estimated Servings Annual]]</f>
        <v>#DIV/0!</v>
      </c>
      <c r="U31" s="105">
        <f>(Table1[[#This Row],[Commercial Bid Price per case for NOI ($)]]-Table1[[#This Row],[Pass-Thru Value per case ($)]])+Table1[[#This Row],[Region 2: Fixed Fee Per Case ($)]]</f>
        <v>0</v>
      </c>
      <c r="V31" s="18" t="e">
        <f>(Table1[[#This Row],[Commercial Bid Price per case for NOI ($)]]+Table1[[#This Row],[Region 2: Fixed Fee Per Case ($)]])/Table1[[#This Row],['# of CN Servings per case]]</f>
        <v>#DIV/0!</v>
      </c>
      <c r="W31" s="118" t="e">
        <f>Table1[[#This Row],[Total Cost Per Serving (N+P)/I]]*Table1[[#This Row],[Estimated Servings Annual]]</f>
        <v>#DIV/0!</v>
      </c>
    </row>
    <row r="32" spans="1:23" x14ac:dyDescent="0.25">
      <c r="A32" s="38" t="s">
        <v>29</v>
      </c>
      <c r="B32" s="5" t="s">
        <v>33</v>
      </c>
      <c r="C32" s="7" t="s">
        <v>13</v>
      </c>
      <c r="D32" s="7"/>
      <c r="E32" s="7"/>
      <c r="F32" s="7"/>
      <c r="G32" s="7"/>
      <c r="H32" s="7"/>
      <c r="I32" s="7"/>
      <c r="J32" s="93">
        <v>90000</v>
      </c>
      <c r="K32" s="7"/>
      <c r="L32" s="7"/>
      <c r="M32" s="7"/>
      <c r="N32" s="7"/>
      <c r="O32" s="7"/>
      <c r="P32" s="7"/>
      <c r="Q32" s="110"/>
      <c r="R32" s="105">
        <f>(Table1[[#This Row],[Commercial Bid Price per case for NOI ($)]]-Table1[[#This Row],[Pass-Thru Value per case ($)]])+Table1[[#This Row],[Region 1: Fixed Fee Per Case ($)]]</f>
        <v>0</v>
      </c>
      <c r="S32" s="19" t="e">
        <f>(Table1[[#This Row],[Commercial Bid Price per case for NOI ($)]]+Table1[[#This Row],[Region 1: Fixed Fee Per Case ($)]])/Table1[[#This Row],['# of CN Servings per case]]</f>
        <v>#DIV/0!</v>
      </c>
      <c r="T32" s="20" t="e">
        <f>Table1[[#This Row],[Total Cost Per Serving (N+O)/I]]*Table1[[#This Row],[Estimated Servings Annual]]</f>
        <v>#DIV/0!</v>
      </c>
      <c r="U32" s="105">
        <f>(Table1[[#This Row],[Commercial Bid Price per case for NOI ($)]]-Table1[[#This Row],[Pass-Thru Value per case ($)]])+Table1[[#This Row],[Region 2: Fixed Fee Per Case ($)]]</f>
        <v>0</v>
      </c>
      <c r="V32" s="18" t="e">
        <f>(Table1[[#This Row],[Commercial Bid Price per case for NOI ($)]]+Table1[[#This Row],[Region 2: Fixed Fee Per Case ($)]])/Table1[[#This Row],['# of CN Servings per case]]</f>
        <v>#DIV/0!</v>
      </c>
      <c r="W32" s="118" t="e">
        <f>Table1[[#This Row],[Total Cost Per Serving (N+P)/I]]*Table1[[#This Row],[Estimated Servings Annual]]</f>
        <v>#DIV/0!</v>
      </c>
    </row>
    <row r="33" spans="1:23" x14ac:dyDescent="0.25">
      <c r="A33" s="38" t="s">
        <v>29</v>
      </c>
      <c r="B33" s="5" t="s">
        <v>33</v>
      </c>
      <c r="C33" s="7" t="s">
        <v>13</v>
      </c>
      <c r="D33" s="7"/>
      <c r="E33" s="7"/>
      <c r="F33" s="7"/>
      <c r="G33" s="7"/>
      <c r="H33" s="7"/>
      <c r="I33" s="7"/>
      <c r="J33" s="93">
        <v>90000</v>
      </c>
      <c r="K33" s="7"/>
      <c r="L33" s="7"/>
      <c r="M33" s="7"/>
      <c r="N33" s="7"/>
      <c r="O33" s="7"/>
      <c r="P33" s="7"/>
      <c r="Q33" s="110"/>
      <c r="R33" s="105">
        <f>(Table1[[#This Row],[Commercial Bid Price per case for NOI ($)]]-Table1[[#This Row],[Pass-Thru Value per case ($)]])+Table1[[#This Row],[Region 1: Fixed Fee Per Case ($)]]</f>
        <v>0</v>
      </c>
      <c r="S33" s="19" t="e">
        <f>(Table1[[#This Row],[Commercial Bid Price per case for NOI ($)]]+Table1[[#This Row],[Region 1: Fixed Fee Per Case ($)]])/Table1[[#This Row],['# of CN Servings per case]]</f>
        <v>#DIV/0!</v>
      </c>
      <c r="T33" s="20" t="e">
        <f>Table1[[#This Row],[Total Cost Per Serving (N+O)/I]]*Table1[[#This Row],[Estimated Servings Annual]]</f>
        <v>#DIV/0!</v>
      </c>
      <c r="U33" s="105">
        <f>(Table1[[#This Row],[Commercial Bid Price per case for NOI ($)]]-Table1[[#This Row],[Pass-Thru Value per case ($)]])+Table1[[#This Row],[Region 2: Fixed Fee Per Case ($)]]</f>
        <v>0</v>
      </c>
      <c r="V33" s="18" t="e">
        <f>(Table1[[#This Row],[Commercial Bid Price per case for NOI ($)]]+Table1[[#This Row],[Region 2: Fixed Fee Per Case ($)]])/Table1[[#This Row],['# of CN Servings per case]]</f>
        <v>#DIV/0!</v>
      </c>
      <c r="W33" s="118" t="e">
        <f>Table1[[#This Row],[Total Cost Per Serving (N+P)/I]]*Table1[[#This Row],[Estimated Servings Annual]]</f>
        <v>#DIV/0!</v>
      </c>
    </row>
    <row r="34" spans="1:23" ht="15.75" thickBot="1" x14ac:dyDescent="0.3">
      <c r="A34" s="38" t="s">
        <v>29</v>
      </c>
      <c r="B34" s="8" t="s">
        <v>33</v>
      </c>
      <c r="C34" s="9" t="s">
        <v>13</v>
      </c>
      <c r="D34" s="9"/>
      <c r="E34" s="9"/>
      <c r="F34" s="9"/>
      <c r="G34" s="9"/>
      <c r="H34" s="9"/>
      <c r="I34" s="9"/>
      <c r="J34" s="94">
        <v>90000</v>
      </c>
      <c r="K34" s="9"/>
      <c r="L34" s="9"/>
      <c r="M34" s="9"/>
      <c r="N34" s="9"/>
      <c r="O34" s="9"/>
      <c r="P34" s="9"/>
      <c r="Q34" s="111"/>
      <c r="R34" s="106">
        <f>(Table1[[#This Row],[Commercial Bid Price per case for NOI ($)]]-Table1[[#This Row],[Pass-Thru Value per case ($)]])+Table1[[#This Row],[Region 1: Fixed Fee Per Case ($)]]</f>
        <v>0</v>
      </c>
      <c r="S34" s="22" t="e">
        <f>(Table1[[#This Row],[Commercial Bid Price per case for NOI ($)]]+Table1[[#This Row],[Region 1: Fixed Fee Per Case ($)]])/Table1[[#This Row],['# of CN Servings per case]]</f>
        <v>#DIV/0!</v>
      </c>
      <c r="T34" s="23" t="e">
        <f>Table1[[#This Row],[Total Cost Per Serving (N+O)/I]]*Table1[[#This Row],[Estimated Servings Annual]]</f>
        <v>#DIV/0!</v>
      </c>
      <c r="U34" s="106">
        <f>(Table1[[#This Row],[Commercial Bid Price per case for NOI ($)]]-Table1[[#This Row],[Pass-Thru Value per case ($)]])+Table1[[#This Row],[Region 2: Fixed Fee Per Case ($)]]</f>
        <v>0</v>
      </c>
      <c r="V34" s="21" t="e">
        <f>(Table1[[#This Row],[Commercial Bid Price per case for NOI ($)]]+Table1[[#This Row],[Region 2: Fixed Fee Per Case ($)]])/Table1[[#This Row],['# of CN Servings per case]]</f>
        <v>#DIV/0!</v>
      </c>
      <c r="W34" s="120" t="e">
        <f>Table1[[#This Row],[Total Cost Per Serving (N+P)/I]]*Table1[[#This Row],[Estimated Servings Annual]]</f>
        <v>#DIV/0!</v>
      </c>
    </row>
    <row r="35" spans="1:23" x14ac:dyDescent="0.25">
      <c r="A35" s="39" t="s">
        <v>29</v>
      </c>
      <c r="B35" s="2" t="s">
        <v>35</v>
      </c>
      <c r="C35" s="3" t="s">
        <v>145</v>
      </c>
      <c r="D35" s="4"/>
      <c r="E35" s="4"/>
      <c r="F35" s="4"/>
      <c r="G35" s="4"/>
      <c r="H35" s="4"/>
      <c r="I35" s="4"/>
      <c r="J35" s="92">
        <v>1300000</v>
      </c>
      <c r="K35" s="4"/>
      <c r="L35" s="4"/>
      <c r="M35" s="4"/>
      <c r="N35" s="4"/>
      <c r="O35" s="4"/>
      <c r="P35" s="4"/>
      <c r="Q35" s="109"/>
      <c r="R35" s="104">
        <f>(Table1[[#This Row],[Commercial Bid Price per case for NOI ($)]]-Table1[[#This Row],[Pass-Thru Value per case ($)]])+Table1[[#This Row],[Region 1: Fixed Fee Per Case ($)]]</f>
        <v>0</v>
      </c>
      <c r="S35" s="31" t="e">
        <f>(Table1[[#This Row],[Commercial Bid Price per case for NOI ($)]]+Table1[[#This Row],[Region 1: Fixed Fee Per Case ($)]])/Table1[[#This Row],['# of CN Servings per case]]</f>
        <v>#DIV/0!</v>
      </c>
      <c r="T35" s="113" t="e">
        <f>Table1[[#This Row],[Total Cost Per Serving (N+O)/I]]*Table1[[#This Row],[Estimated Servings Annual]]</f>
        <v>#DIV/0!</v>
      </c>
      <c r="U35" s="123">
        <f>(Table1[[#This Row],[Commercial Bid Price per case for NOI ($)]]-Table1[[#This Row],[Pass-Thru Value per case ($)]])+Table1[[#This Row],[Region 2: Fixed Fee Per Case ($)]]</f>
        <v>0</v>
      </c>
      <c r="V35" s="15" t="e">
        <f>(Table1[[#This Row],[Commercial Bid Price per case for NOI ($)]]+Table1[[#This Row],[Region 2: Fixed Fee Per Case ($)]])/Table1[[#This Row],['# of CN Servings per case]]</f>
        <v>#DIV/0!</v>
      </c>
      <c r="W35" s="115" t="e">
        <f>Table1[[#This Row],[Total Cost Per Serving (N+P)/I]]*Table1[[#This Row],[Estimated Servings Annual]]</f>
        <v>#DIV/0!</v>
      </c>
    </row>
    <row r="36" spans="1:23" x14ac:dyDescent="0.25">
      <c r="A36" s="39" t="s">
        <v>29</v>
      </c>
      <c r="B36" s="5" t="s">
        <v>35</v>
      </c>
      <c r="C36" s="6" t="s">
        <v>145</v>
      </c>
      <c r="D36" s="7"/>
      <c r="E36" s="7"/>
      <c r="F36" s="7"/>
      <c r="G36" s="7"/>
      <c r="H36" s="7"/>
      <c r="I36" s="7"/>
      <c r="J36" s="93">
        <v>1300000</v>
      </c>
      <c r="K36" s="7"/>
      <c r="L36" s="7"/>
      <c r="M36" s="7"/>
      <c r="N36" s="7"/>
      <c r="O36" s="7"/>
      <c r="P36" s="7"/>
      <c r="Q36" s="110"/>
      <c r="R36" s="105">
        <f>(Table1[[#This Row],[Commercial Bid Price per case for NOI ($)]]-Table1[[#This Row],[Pass-Thru Value per case ($)]])+Table1[[#This Row],[Region 1: Fixed Fee Per Case ($)]]</f>
        <v>0</v>
      </c>
      <c r="S36" s="24" t="e">
        <f>(Table1[[#This Row],[Commercial Bid Price per case for NOI ($)]]+Table1[[#This Row],[Region 1: Fixed Fee Per Case ($)]])/Table1[[#This Row],['# of CN Servings per case]]</f>
        <v>#DIV/0!</v>
      </c>
      <c r="T36" s="26" t="e">
        <f>Table1[[#This Row],[Total Cost Per Serving (N+O)/I]]*Table1[[#This Row],[Estimated Servings Annual]]</f>
        <v>#DIV/0!</v>
      </c>
      <c r="U36" s="124">
        <f>(Table1[[#This Row],[Commercial Bid Price per case for NOI ($)]]-Table1[[#This Row],[Pass-Thru Value per case ($)]])+Table1[[#This Row],[Region 2: Fixed Fee Per Case ($)]]</f>
        <v>0</v>
      </c>
      <c r="V36" s="18" t="e">
        <f>(Table1[[#This Row],[Commercial Bid Price per case for NOI ($)]]+Table1[[#This Row],[Region 2: Fixed Fee Per Case ($)]])/Table1[[#This Row],['# of CN Servings per case]]</f>
        <v>#DIV/0!</v>
      </c>
      <c r="W36" s="118" t="e">
        <f>Table1[[#This Row],[Total Cost Per Serving (N+P)/I]]*Table1[[#This Row],[Estimated Servings Annual]]</f>
        <v>#DIV/0!</v>
      </c>
    </row>
    <row r="37" spans="1:23" x14ac:dyDescent="0.25">
      <c r="A37" s="39" t="s">
        <v>29</v>
      </c>
      <c r="B37" s="5" t="s">
        <v>35</v>
      </c>
      <c r="C37" s="6" t="s">
        <v>146</v>
      </c>
      <c r="D37" s="7"/>
      <c r="E37" s="7"/>
      <c r="F37" s="7"/>
      <c r="G37" s="7"/>
      <c r="H37" s="7"/>
      <c r="I37" s="7"/>
      <c r="J37" s="93">
        <v>1300000</v>
      </c>
      <c r="K37" s="7"/>
      <c r="L37" s="7"/>
      <c r="M37" s="7"/>
      <c r="N37" s="7"/>
      <c r="O37" s="7"/>
      <c r="P37" s="7"/>
      <c r="Q37" s="110"/>
      <c r="R37" s="105">
        <f>(Table1[[#This Row],[Commercial Bid Price per case for NOI ($)]]-Table1[[#This Row],[Pass-Thru Value per case ($)]])+Table1[[#This Row],[Region 1: Fixed Fee Per Case ($)]]</f>
        <v>0</v>
      </c>
      <c r="S37" s="24" t="e">
        <f>(Table1[[#This Row],[Commercial Bid Price per case for NOI ($)]]+Table1[[#This Row],[Region 1: Fixed Fee Per Case ($)]])/Table1[[#This Row],['# of CN Servings per case]]</f>
        <v>#DIV/0!</v>
      </c>
      <c r="T37" s="26" t="e">
        <f>Table1[[#This Row],[Total Cost Per Serving (N+O)/I]]*Table1[[#This Row],[Estimated Servings Annual]]</f>
        <v>#DIV/0!</v>
      </c>
      <c r="U37" s="124">
        <f>(Table1[[#This Row],[Commercial Bid Price per case for NOI ($)]]-Table1[[#This Row],[Pass-Thru Value per case ($)]])+Table1[[#This Row],[Region 2: Fixed Fee Per Case ($)]]</f>
        <v>0</v>
      </c>
      <c r="V37" s="18" t="e">
        <f>(Table1[[#This Row],[Commercial Bid Price per case for NOI ($)]]+Table1[[#This Row],[Region 2: Fixed Fee Per Case ($)]])/Table1[[#This Row],['# of CN Servings per case]]</f>
        <v>#DIV/0!</v>
      </c>
      <c r="W37" s="118" t="e">
        <f>Table1[[#This Row],[Total Cost Per Serving (N+P)/I]]*Table1[[#This Row],[Estimated Servings Annual]]</f>
        <v>#DIV/0!</v>
      </c>
    </row>
    <row r="38" spans="1:23" x14ac:dyDescent="0.25">
      <c r="A38" s="39" t="s">
        <v>29</v>
      </c>
      <c r="B38" s="5" t="s">
        <v>35</v>
      </c>
      <c r="C38" s="6" t="s">
        <v>146</v>
      </c>
      <c r="D38" s="7"/>
      <c r="E38" s="7"/>
      <c r="F38" s="7"/>
      <c r="G38" s="7"/>
      <c r="H38" s="7"/>
      <c r="I38" s="7"/>
      <c r="J38" s="93">
        <v>1300000</v>
      </c>
      <c r="K38" s="7"/>
      <c r="L38" s="7"/>
      <c r="M38" s="7"/>
      <c r="N38" s="7"/>
      <c r="O38" s="7"/>
      <c r="P38" s="7"/>
      <c r="Q38" s="110"/>
      <c r="R38" s="105">
        <f>(Table1[[#This Row],[Commercial Bid Price per case for NOI ($)]]-Table1[[#This Row],[Pass-Thru Value per case ($)]])+Table1[[#This Row],[Region 1: Fixed Fee Per Case ($)]]</f>
        <v>0</v>
      </c>
      <c r="S38" s="24" t="e">
        <f>(Table1[[#This Row],[Commercial Bid Price per case for NOI ($)]]+Table1[[#This Row],[Region 1: Fixed Fee Per Case ($)]])/Table1[[#This Row],['# of CN Servings per case]]</f>
        <v>#DIV/0!</v>
      </c>
      <c r="T38" s="26" t="e">
        <f>Table1[[#This Row],[Total Cost Per Serving (N+O)/I]]*Table1[[#This Row],[Estimated Servings Annual]]</f>
        <v>#DIV/0!</v>
      </c>
      <c r="U38" s="124">
        <f>(Table1[[#This Row],[Commercial Bid Price per case for NOI ($)]]-Table1[[#This Row],[Pass-Thru Value per case ($)]])+Table1[[#This Row],[Region 2: Fixed Fee Per Case ($)]]</f>
        <v>0</v>
      </c>
      <c r="V38" s="18" t="e">
        <f>(Table1[[#This Row],[Commercial Bid Price per case for NOI ($)]]+Table1[[#This Row],[Region 2: Fixed Fee Per Case ($)]])/Table1[[#This Row],['# of CN Servings per case]]</f>
        <v>#DIV/0!</v>
      </c>
      <c r="W38" s="118" t="e">
        <f>Table1[[#This Row],[Total Cost Per Serving (N+P)/I]]*Table1[[#This Row],[Estimated Servings Annual]]</f>
        <v>#DIV/0!</v>
      </c>
    </row>
    <row r="39" spans="1:23" x14ac:dyDescent="0.25">
      <c r="A39" s="39" t="s">
        <v>29</v>
      </c>
      <c r="B39" s="5" t="s">
        <v>35</v>
      </c>
      <c r="C39" s="7" t="s">
        <v>13</v>
      </c>
      <c r="D39" s="7"/>
      <c r="E39" s="7"/>
      <c r="F39" s="7"/>
      <c r="G39" s="7"/>
      <c r="H39" s="7"/>
      <c r="I39" s="7"/>
      <c r="J39" s="93">
        <v>1300000</v>
      </c>
      <c r="K39" s="7"/>
      <c r="L39" s="7"/>
      <c r="M39" s="7"/>
      <c r="N39" s="7"/>
      <c r="O39" s="7"/>
      <c r="P39" s="7"/>
      <c r="Q39" s="110"/>
      <c r="R39" s="105">
        <f>(Table1[[#This Row],[Commercial Bid Price per case for NOI ($)]]-Table1[[#This Row],[Pass-Thru Value per case ($)]])+Table1[[#This Row],[Region 1: Fixed Fee Per Case ($)]]</f>
        <v>0</v>
      </c>
      <c r="S39" s="24" t="e">
        <f>(Table1[[#This Row],[Commercial Bid Price per case for NOI ($)]]+Table1[[#This Row],[Region 1: Fixed Fee Per Case ($)]])/Table1[[#This Row],['# of CN Servings per case]]</f>
        <v>#DIV/0!</v>
      </c>
      <c r="T39" s="26" t="e">
        <f>Table1[[#This Row],[Total Cost Per Serving (N+O)/I]]*Table1[[#This Row],[Estimated Servings Annual]]</f>
        <v>#DIV/0!</v>
      </c>
      <c r="U39" s="124">
        <f>(Table1[[#This Row],[Commercial Bid Price per case for NOI ($)]]-Table1[[#This Row],[Pass-Thru Value per case ($)]])+Table1[[#This Row],[Region 2: Fixed Fee Per Case ($)]]</f>
        <v>0</v>
      </c>
      <c r="V39" s="18" t="e">
        <f>(Table1[[#This Row],[Commercial Bid Price per case for NOI ($)]]+Table1[[#This Row],[Region 2: Fixed Fee Per Case ($)]])/Table1[[#This Row],['# of CN Servings per case]]</f>
        <v>#DIV/0!</v>
      </c>
      <c r="W39" s="118" t="e">
        <f>Table1[[#This Row],[Total Cost Per Serving (N+P)/I]]*Table1[[#This Row],[Estimated Servings Annual]]</f>
        <v>#DIV/0!</v>
      </c>
    </row>
    <row r="40" spans="1:23" x14ac:dyDescent="0.25">
      <c r="A40" s="39" t="s">
        <v>29</v>
      </c>
      <c r="B40" s="5" t="s">
        <v>35</v>
      </c>
      <c r="C40" s="7" t="s">
        <v>13</v>
      </c>
      <c r="D40" s="7"/>
      <c r="E40" s="7"/>
      <c r="F40" s="7"/>
      <c r="G40" s="7"/>
      <c r="H40" s="7"/>
      <c r="I40" s="7"/>
      <c r="J40" s="93">
        <v>1300000</v>
      </c>
      <c r="K40" s="7"/>
      <c r="L40" s="7"/>
      <c r="M40" s="7"/>
      <c r="N40" s="7"/>
      <c r="O40" s="7"/>
      <c r="P40" s="7"/>
      <c r="Q40" s="110"/>
      <c r="R40" s="105">
        <f>(Table1[[#This Row],[Commercial Bid Price per case for NOI ($)]]-Table1[[#This Row],[Pass-Thru Value per case ($)]])+Table1[[#This Row],[Region 1: Fixed Fee Per Case ($)]]</f>
        <v>0</v>
      </c>
      <c r="S40" s="24" t="e">
        <f>(Table1[[#This Row],[Commercial Bid Price per case for NOI ($)]]+Table1[[#This Row],[Region 1: Fixed Fee Per Case ($)]])/Table1[[#This Row],['# of CN Servings per case]]</f>
        <v>#DIV/0!</v>
      </c>
      <c r="T40" s="26" t="e">
        <f>Table1[[#This Row],[Total Cost Per Serving (N+O)/I]]*Table1[[#This Row],[Estimated Servings Annual]]</f>
        <v>#DIV/0!</v>
      </c>
      <c r="U40" s="124">
        <f>(Table1[[#This Row],[Commercial Bid Price per case for NOI ($)]]-Table1[[#This Row],[Pass-Thru Value per case ($)]])+Table1[[#This Row],[Region 2: Fixed Fee Per Case ($)]]</f>
        <v>0</v>
      </c>
      <c r="V40" s="18" t="e">
        <f>(Table1[[#This Row],[Commercial Bid Price per case for NOI ($)]]+Table1[[#This Row],[Region 2: Fixed Fee Per Case ($)]])/Table1[[#This Row],['# of CN Servings per case]]</f>
        <v>#DIV/0!</v>
      </c>
      <c r="W40" s="118" t="e">
        <f>Table1[[#This Row],[Total Cost Per Serving (N+P)/I]]*Table1[[#This Row],[Estimated Servings Annual]]</f>
        <v>#DIV/0!</v>
      </c>
    </row>
    <row r="41" spans="1:23" x14ac:dyDescent="0.25">
      <c r="A41" s="39" t="s">
        <v>29</v>
      </c>
      <c r="B41" s="5" t="s">
        <v>35</v>
      </c>
      <c r="C41" s="7" t="s">
        <v>13</v>
      </c>
      <c r="D41" s="7"/>
      <c r="E41" s="7"/>
      <c r="F41" s="7"/>
      <c r="G41" s="7"/>
      <c r="H41" s="7"/>
      <c r="I41" s="7"/>
      <c r="J41" s="93">
        <v>1300000</v>
      </c>
      <c r="K41" s="7"/>
      <c r="L41" s="7"/>
      <c r="M41" s="7"/>
      <c r="N41" s="7"/>
      <c r="O41" s="7"/>
      <c r="P41" s="7"/>
      <c r="Q41" s="110"/>
      <c r="R41" s="105">
        <f>(Table1[[#This Row],[Commercial Bid Price per case for NOI ($)]]-Table1[[#This Row],[Pass-Thru Value per case ($)]])+Table1[[#This Row],[Region 1: Fixed Fee Per Case ($)]]</f>
        <v>0</v>
      </c>
      <c r="S41" s="24" t="e">
        <f>(Table1[[#This Row],[Commercial Bid Price per case for NOI ($)]]+Table1[[#This Row],[Region 1: Fixed Fee Per Case ($)]])/Table1[[#This Row],['# of CN Servings per case]]</f>
        <v>#DIV/0!</v>
      </c>
      <c r="T41" s="26" t="e">
        <f>Table1[[#This Row],[Total Cost Per Serving (N+O)/I]]*Table1[[#This Row],[Estimated Servings Annual]]</f>
        <v>#DIV/0!</v>
      </c>
      <c r="U41" s="124">
        <f>(Table1[[#This Row],[Commercial Bid Price per case for NOI ($)]]-Table1[[#This Row],[Pass-Thru Value per case ($)]])+Table1[[#This Row],[Region 2: Fixed Fee Per Case ($)]]</f>
        <v>0</v>
      </c>
      <c r="V41" s="18" t="e">
        <f>(Table1[[#This Row],[Commercial Bid Price per case for NOI ($)]]+Table1[[#This Row],[Region 2: Fixed Fee Per Case ($)]])/Table1[[#This Row],['# of CN Servings per case]]</f>
        <v>#DIV/0!</v>
      </c>
      <c r="W41" s="118" t="e">
        <f>Table1[[#This Row],[Total Cost Per Serving (N+P)/I]]*Table1[[#This Row],[Estimated Servings Annual]]</f>
        <v>#DIV/0!</v>
      </c>
    </row>
    <row r="42" spans="1:23" ht="15.75" thickBot="1" x14ac:dyDescent="0.3">
      <c r="A42" s="40" t="s">
        <v>29</v>
      </c>
      <c r="B42" s="8" t="s">
        <v>35</v>
      </c>
      <c r="C42" s="9" t="s">
        <v>13</v>
      </c>
      <c r="D42" s="9"/>
      <c r="E42" s="9"/>
      <c r="F42" s="9"/>
      <c r="G42" s="9"/>
      <c r="H42" s="9"/>
      <c r="I42" s="9"/>
      <c r="J42" s="94">
        <v>1300000</v>
      </c>
      <c r="K42" s="9"/>
      <c r="L42" s="9"/>
      <c r="M42" s="9"/>
      <c r="N42" s="9"/>
      <c r="O42" s="9"/>
      <c r="P42" s="9"/>
      <c r="Q42" s="111"/>
      <c r="R42" s="106">
        <f>(Table1[[#This Row],[Commercial Bid Price per case for NOI ($)]]-Table1[[#This Row],[Pass-Thru Value per case ($)]])+Table1[[#This Row],[Region 1: Fixed Fee Per Case ($)]]</f>
        <v>0</v>
      </c>
      <c r="S42" s="25" t="e">
        <f>(Table1[[#This Row],[Commercial Bid Price per case for NOI ($)]]+Table1[[#This Row],[Region 1: Fixed Fee Per Case ($)]])/Table1[[#This Row],['# of CN Servings per case]]</f>
        <v>#DIV/0!</v>
      </c>
      <c r="T42" s="27" t="e">
        <f>Table1[[#This Row],[Total Cost Per Serving (N+O)/I]]*Table1[[#This Row],[Estimated Servings Annual]]</f>
        <v>#DIV/0!</v>
      </c>
      <c r="U42" s="125">
        <f>(Table1[[#This Row],[Commercial Bid Price per case for NOI ($)]]-Table1[[#This Row],[Pass-Thru Value per case ($)]])+Table1[[#This Row],[Region 2: Fixed Fee Per Case ($)]]</f>
        <v>0</v>
      </c>
      <c r="V42" s="21" t="e">
        <f>(Table1[[#This Row],[Commercial Bid Price per case for NOI ($)]]+Table1[[#This Row],[Region 2: Fixed Fee Per Case ($)]])/Table1[[#This Row],['# of CN Servings per case]]</f>
        <v>#DIV/0!</v>
      </c>
      <c r="W42" s="120" t="e">
        <f>Table1[[#This Row],[Total Cost Per Serving (N+P)/I]]*Table1[[#This Row],[Estimated Servings Annual]]</f>
        <v>#DIV/0!</v>
      </c>
    </row>
    <row r="43" spans="1:23" x14ac:dyDescent="0.25">
      <c r="A43" s="39" t="s">
        <v>29</v>
      </c>
      <c r="B43" s="2" t="s">
        <v>34</v>
      </c>
      <c r="C43" s="3" t="s">
        <v>145</v>
      </c>
      <c r="D43" s="4"/>
      <c r="E43" s="4"/>
      <c r="F43" s="4"/>
      <c r="G43" s="4"/>
      <c r="H43" s="4"/>
      <c r="I43" s="4"/>
      <c r="J43" s="92">
        <v>600000</v>
      </c>
      <c r="K43" s="4"/>
      <c r="L43" s="4"/>
      <c r="M43" s="4"/>
      <c r="N43" s="4"/>
      <c r="O43" s="4"/>
      <c r="P43" s="4"/>
      <c r="Q43" s="109"/>
      <c r="R43" s="104">
        <f>(Table1[[#This Row],[Commercial Bid Price per case for NOI ($)]]-Table1[[#This Row],[Pass-Thru Value per case ($)]])+Table1[[#This Row],[Region 1: Fixed Fee Per Case ($)]]</f>
        <v>0</v>
      </c>
      <c r="S43" s="31" t="e">
        <f>(Table1[[#This Row],[Commercial Bid Price per case for NOI ($)]]+Table1[[#This Row],[Region 1: Fixed Fee Per Case ($)]])/Table1[[#This Row],['# of CN Servings per case]]</f>
        <v>#DIV/0!</v>
      </c>
      <c r="T43" s="113" t="e">
        <f>Table1[[#This Row],[Total Cost Per Serving (N+O)/I]]*Table1[[#This Row],[Estimated Servings Annual]]</f>
        <v>#DIV/0!</v>
      </c>
      <c r="U43" s="123">
        <f>(Table1[[#This Row],[Commercial Bid Price per case for NOI ($)]]-Table1[[#This Row],[Pass-Thru Value per case ($)]])+Table1[[#This Row],[Region 2: Fixed Fee Per Case ($)]]</f>
        <v>0</v>
      </c>
      <c r="V43" s="15" t="e">
        <f>(Table1[[#This Row],[Commercial Bid Price per case for NOI ($)]]+Table1[[#This Row],[Region 2: Fixed Fee Per Case ($)]])/Table1[[#This Row],['# of CN Servings per case]]</f>
        <v>#DIV/0!</v>
      </c>
      <c r="W43" s="115" t="e">
        <f>Table1[[#This Row],[Total Cost Per Serving (N+P)/I]]*Table1[[#This Row],[Estimated Servings Annual]]</f>
        <v>#DIV/0!</v>
      </c>
    </row>
    <row r="44" spans="1:23" x14ac:dyDescent="0.25">
      <c r="A44" s="39" t="s">
        <v>29</v>
      </c>
      <c r="B44" s="5" t="s">
        <v>34</v>
      </c>
      <c r="C44" s="6" t="s">
        <v>145</v>
      </c>
      <c r="D44" s="7"/>
      <c r="E44" s="7"/>
      <c r="F44" s="7"/>
      <c r="G44" s="7"/>
      <c r="H44" s="7"/>
      <c r="I44" s="7"/>
      <c r="J44" s="93">
        <v>600000</v>
      </c>
      <c r="K44" s="7"/>
      <c r="L44" s="7"/>
      <c r="M44" s="7"/>
      <c r="N44" s="7"/>
      <c r="O44" s="7"/>
      <c r="P44" s="7"/>
      <c r="Q44" s="110"/>
      <c r="R44" s="105">
        <f>(Table1[[#This Row],[Commercial Bid Price per case for NOI ($)]]-Table1[[#This Row],[Pass-Thru Value per case ($)]])+Table1[[#This Row],[Region 1: Fixed Fee Per Case ($)]]</f>
        <v>0</v>
      </c>
      <c r="S44" s="24" t="e">
        <f>(Table1[[#This Row],[Commercial Bid Price per case for NOI ($)]]+Table1[[#This Row],[Region 1: Fixed Fee Per Case ($)]])/Table1[[#This Row],['# of CN Servings per case]]</f>
        <v>#DIV/0!</v>
      </c>
      <c r="T44" s="26" t="e">
        <f>Table1[[#This Row],[Total Cost Per Serving (N+O)/I]]*Table1[[#This Row],[Estimated Servings Annual]]</f>
        <v>#DIV/0!</v>
      </c>
      <c r="U44" s="124">
        <f>(Table1[[#This Row],[Commercial Bid Price per case for NOI ($)]]-Table1[[#This Row],[Pass-Thru Value per case ($)]])+Table1[[#This Row],[Region 2: Fixed Fee Per Case ($)]]</f>
        <v>0</v>
      </c>
      <c r="V44" s="18" t="e">
        <f>(Table1[[#This Row],[Commercial Bid Price per case for NOI ($)]]+Table1[[#This Row],[Region 2: Fixed Fee Per Case ($)]])/Table1[[#This Row],['# of CN Servings per case]]</f>
        <v>#DIV/0!</v>
      </c>
      <c r="W44" s="118" t="e">
        <f>Table1[[#This Row],[Total Cost Per Serving (N+P)/I]]*Table1[[#This Row],[Estimated Servings Annual]]</f>
        <v>#DIV/0!</v>
      </c>
    </row>
    <row r="45" spans="1:23" x14ac:dyDescent="0.25">
      <c r="A45" s="39" t="s">
        <v>29</v>
      </c>
      <c r="B45" s="5" t="s">
        <v>34</v>
      </c>
      <c r="C45" s="6" t="s">
        <v>146</v>
      </c>
      <c r="D45" s="7"/>
      <c r="E45" s="7"/>
      <c r="F45" s="7"/>
      <c r="G45" s="7"/>
      <c r="H45" s="7"/>
      <c r="I45" s="7"/>
      <c r="J45" s="93">
        <v>600000</v>
      </c>
      <c r="K45" s="7"/>
      <c r="L45" s="7"/>
      <c r="M45" s="7"/>
      <c r="N45" s="7"/>
      <c r="O45" s="7"/>
      <c r="P45" s="7"/>
      <c r="Q45" s="110"/>
      <c r="R45" s="105">
        <f>(Table1[[#This Row],[Commercial Bid Price per case for NOI ($)]]-Table1[[#This Row],[Pass-Thru Value per case ($)]])+Table1[[#This Row],[Region 1: Fixed Fee Per Case ($)]]</f>
        <v>0</v>
      </c>
      <c r="S45" s="24" t="e">
        <f>(Table1[[#This Row],[Commercial Bid Price per case for NOI ($)]]+Table1[[#This Row],[Region 1: Fixed Fee Per Case ($)]])/Table1[[#This Row],['# of CN Servings per case]]</f>
        <v>#DIV/0!</v>
      </c>
      <c r="T45" s="26" t="e">
        <f>Table1[[#This Row],[Total Cost Per Serving (N+O)/I]]*Table1[[#This Row],[Estimated Servings Annual]]</f>
        <v>#DIV/0!</v>
      </c>
      <c r="U45" s="124">
        <f>(Table1[[#This Row],[Commercial Bid Price per case for NOI ($)]]-Table1[[#This Row],[Pass-Thru Value per case ($)]])+Table1[[#This Row],[Region 2: Fixed Fee Per Case ($)]]</f>
        <v>0</v>
      </c>
      <c r="V45" s="18" t="e">
        <f>(Table1[[#This Row],[Commercial Bid Price per case for NOI ($)]]+Table1[[#This Row],[Region 2: Fixed Fee Per Case ($)]])/Table1[[#This Row],['# of CN Servings per case]]</f>
        <v>#DIV/0!</v>
      </c>
      <c r="W45" s="118" t="e">
        <f>Table1[[#This Row],[Total Cost Per Serving (N+P)/I]]*Table1[[#This Row],[Estimated Servings Annual]]</f>
        <v>#DIV/0!</v>
      </c>
    </row>
    <row r="46" spans="1:23" x14ac:dyDescent="0.25">
      <c r="A46" s="39" t="s">
        <v>29</v>
      </c>
      <c r="B46" s="5" t="s">
        <v>34</v>
      </c>
      <c r="C46" s="6" t="s">
        <v>146</v>
      </c>
      <c r="D46" s="7"/>
      <c r="E46" s="7"/>
      <c r="F46" s="7"/>
      <c r="G46" s="7"/>
      <c r="H46" s="7"/>
      <c r="I46" s="7"/>
      <c r="J46" s="93">
        <v>600000</v>
      </c>
      <c r="K46" s="7"/>
      <c r="L46" s="7"/>
      <c r="M46" s="7"/>
      <c r="N46" s="7"/>
      <c r="O46" s="7"/>
      <c r="P46" s="7"/>
      <c r="Q46" s="110"/>
      <c r="R46" s="105">
        <f>(Table1[[#This Row],[Commercial Bid Price per case for NOI ($)]]-Table1[[#This Row],[Pass-Thru Value per case ($)]])+Table1[[#This Row],[Region 1: Fixed Fee Per Case ($)]]</f>
        <v>0</v>
      </c>
      <c r="S46" s="24" t="e">
        <f>(Table1[[#This Row],[Commercial Bid Price per case for NOI ($)]]+Table1[[#This Row],[Region 1: Fixed Fee Per Case ($)]])/Table1[[#This Row],['# of CN Servings per case]]</f>
        <v>#DIV/0!</v>
      </c>
      <c r="T46" s="26" t="e">
        <f>Table1[[#This Row],[Total Cost Per Serving (N+O)/I]]*Table1[[#This Row],[Estimated Servings Annual]]</f>
        <v>#DIV/0!</v>
      </c>
      <c r="U46" s="124">
        <f>(Table1[[#This Row],[Commercial Bid Price per case for NOI ($)]]-Table1[[#This Row],[Pass-Thru Value per case ($)]])+Table1[[#This Row],[Region 2: Fixed Fee Per Case ($)]]</f>
        <v>0</v>
      </c>
      <c r="V46" s="18" t="e">
        <f>(Table1[[#This Row],[Commercial Bid Price per case for NOI ($)]]+Table1[[#This Row],[Region 2: Fixed Fee Per Case ($)]])/Table1[[#This Row],['# of CN Servings per case]]</f>
        <v>#DIV/0!</v>
      </c>
      <c r="W46" s="118" t="e">
        <f>Table1[[#This Row],[Total Cost Per Serving (N+P)/I]]*Table1[[#This Row],[Estimated Servings Annual]]</f>
        <v>#DIV/0!</v>
      </c>
    </row>
    <row r="47" spans="1:23" x14ac:dyDescent="0.25">
      <c r="A47" s="39" t="s">
        <v>29</v>
      </c>
      <c r="B47" s="5" t="s">
        <v>34</v>
      </c>
      <c r="C47" s="7" t="s">
        <v>13</v>
      </c>
      <c r="D47" s="7"/>
      <c r="E47" s="7"/>
      <c r="F47" s="7"/>
      <c r="G47" s="7"/>
      <c r="H47" s="7"/>
      <c r="I47" s="7"/>
      <c r="J47" s="93">
        <v>600000</v>
      </c>
      <c r="K47" s="7"/>
      <c r="L47" s="7"/>
      <c r="M47" s="7"/>
      <c r="N47" s="7"/>
      <c r="O47" s="7"/>
      <c r="P47" s="7"/>
      <c r="Q47" s="110"/>
      <c r="R47" s="105">
        <f>(Table1[[#This Row],[Commercial Bid Price per case for NOI ($)]]-Table1[[#This Row],[Pass-Thru Value per case ($)]])+Table1[[#This Row],[Region 1: Fixed Fee Per Case ($)]]</f>
        <v>0</v>
      </c>
      <c r="S47" s="24" t="e">
        <f>(Table1[[#This Row],[Commercial Bid Price per case for NOI ($)]]+Table1[[#This Row],[Region 1: Fixed Fee Per Case ($)]])/Table1[[#This Row],['# of CN Servings per case]]</f>
        <v>#DIV/0!</v>
      </c>
      <c r="T47" s="26" t="e">
        <f>Table1[[#This Row],[Total Cost Per Serving (N+O)/I]]*Table1[[#This Row],[Estimated Servings Annual]]</f>
        <v>#DIV/0!</v>
      </c>
      <c r="U47" s="124">
        <f>(Table1[[#This Row],[Commercial Bid Price per case for NOI ($)]]-Table1[[#This Row],[Pass-Thru Value per case ($)]])+Table1[[#This Row],[Region 2: Fixed Fee Per Case ($)]]</f>
        <v>0</v>
      </c>
      <c r="V47" s="18" t="e">
        <f>(Table1[[#This Row],[Commercial Bid Price per case for NOI ($)]]+Table1[[#This Row],[Region 2: Fixed Fee Per Case ($)]])/Table1[[#This Row],['# of CN Servings per case]]</f>
        <v>#DIV/0!</v>
      </c>
      <c r="W47" s="118" t="e">
        <f>Table1[[#This Row],[Total Cost Per Serving (N+P)/I]]*Table1[[#This Row],[Estimated Servings Annual]]</f>
        <v>#DIV/0!</v>
      </c>
    </row>
    <row r="48" spans="1:23" x14ac:dyDescent="0.25">
      <c r="A48" s="39" t="s">
        <v>29</v>
      </c>
      <c r="B48" s="5" t="s">
        <v>34</v>
      </c>
      <c r="C48" s="7" t="s">
        <v>13</v>
      </c>
      <c r="D48" s="7"/>
      <c r="E48" s="7"/>
      <c r="F48" s="7"/>
      <c r="G48" s="7"/>
      <c r="H48" s="7"/>
      <c r="I48" s="7"/>
      <c r="J48" s="93">
        <v>600000</v>
      </c>
      <c r="K48" s="7"/>
      <c r="L48" s="7"/>
      <c r="M48" s="7"/>
      <c r="N48" s="7"/>
      <c r="O48" s="7"/>
      <c r="P48" s="7"/>
      <c r="Q48" s="110"/>
      <c r="R48" s="105">
        <f>(Table1[[#This Row],[Commercial Bid Price per case for NOI ($)]]-Table1[[#This Row],[Pass-Thru Value per case ($)]])+Table1[[#This Row],[Region 1: Fixed Fee Per Case ($)]]</f>
        <v>0</v>
      </c>
      <c r="S48" s="24" t="e">
        <f>(Table1[[#This Row],[Commercial Bid Price per case for NOI ($)]]+Table1[[#This Row],[Region 1: Fixed Fee Per Case ($)]])/Table1[[#This Row],['# of CN Servings per case]]</f>
        <v>#DIV/0!</v>
      </c>
      <c r="T48" s="26" t="e">
        <f>Table1[[#This Row],[Total Cost Per Serving (N+O)/I]]*Table1[[#This Row],[Estimated Servings Annual]]</f>
        <v>#DIV/0!</v>
      </c>
      <c r="U48" s="124">
        <f>(Table1[[#This Row],[Commercial Bid Price per case for NOI ($)]]-Table1[[#This Row],[Pass-Thru Value per case ($)]])+Table1[[#This Row],[Region 2: Fixed Fee Per Case ($)]]</f>
        <v>0</v>
      </c>
      <c r="V48" s="18" t="e">
        <f>(Table1[[#This Row],[Commercial Bid Price per case for NOI ($)]]+Table1[[#This Row],[Region 2: Fixed Fee Per Case ($)]])/Table1[[#This Row],['# of CN Servings per case]]</f>
        <v>#DIV/0!</v>
      </c>
      <c r="W48" s="118" t="e">
        <f>Table1[[#This Row],[Total Cost Per Serving (N+P)/I]]*Table1[[#This Row],[Estimated Servings Annual]]</f>
        <v>#DIV/0!</v>
      </c>
    </row>
    <row r="49" spans="1:23" x14ac:dyDescent="0.25">
      <c r="A49" s="39" t="s">
        <v>29</v>
      </c>
      <c r="B49" s="5" t="s">
        <v>34</v>
      </c>
      <c r="C49" s="7" t="s">
        <v>13</v>
      </c>
      <c r="D49" s="7"/>
      <c r="E49" s="7"/>
      <c r="F49" s="7"/>
      <c r="G49" s="7"/>
      <c r="H49" s="7"/>
      <c r="I49" s="7"/>
      <c r="J49" s="93">
        <v>600000</v>
      </c>
      <c r="K49" s="7"/>
      <c r="L49" s="7"/>
      <c r="M49" s="7"/>
      <c r="N49" s="7"/>
      <c r="O49" s="7"/>
      <c r="P49" s="7"/>
      <c r="Q49" s="110"/>
      <c r="R49" s="105">
        <f>(Table1[[#This Row],[Commercial Bid Price per case for NOI ($)]]-Table1[[#This Row],[Pass-Thru Value per case ($)]])+Table1[[#This Row],[Region 1: Fixed Fee Per Case ($)]]</f>
        <v>0</v>
      </c>
      <c r="S49" s="24" t="e">
        <f>(Table1[[#This Row],[Commercial Bid Price per case for NOI ($)]]+Table1[[#This Row],[Region 1: Fixed Fee Per Case ($)]])/Table1[[#This Row],['# of CN Servings per case]]</f>
        <v>#DIV/0!</v>
      </c>
      <c r="T49" s="26" t="e">
        <f>Table1[[#This Row],[Total Cost Per Serving (N+O)/I]]*Table1[[#This Row],[Estimated Servings Annual]]</f>
        <v>#DIV/0!</v>
      </c>
      <c r="U49" s="124">
        <f>(Table1[[#This Row],[Commercial Bid Price per case for NOI ($)]]-Table1[[#This Row],[Pass-Thru Value per case ($)]])+Table1[[#This Row],[Region 2: Fixed Fee Per Case ($)]]</f>
        <v>0</v>
      </c>
      <c r="V49" s="18" t="e">
        <f>(Table1[[#This Row],[Commercial Bid Price per case for NOI ($)]]+Table1[[#This Row],[Region 2: Fixed Fee Per Case ($)]])/Table1[[#This Row],['# of CN Servings per case]]</f>
        <v>#DIV/0!</v>
      </c>
      <c r="W49" s="118" t="e">
        <f>Table1[[#This Row],[Total Cost Per Serving (N+P)/I]]*Table1[[#This Row],[Estimated Servings Annual]]</f>
        <v>#DIV/0!</v>
      </c>
    </row>
    <row r="50" spans="1:23" ht="15.75" thickBot="1" x14ac:dyDescent="0.3">
      <c r="A50" s="40" t="s">
        <v>29</v>
      </c>
      <c r="B50" s="8" t="s">
        <v>34</v>
      </c>
      <c r="C50" s="9" t="s">
        <v>13</v>
      </c>
      <c r="D50" s="9"/>
      <c r="E50" s="9"/>
      <c r="F50" s="9"/>
      <c r="G50" s="9"/>
      <c r="H50" s="9"/>
      <c r="I50" s="9"/>
      <c r="J50" s="94">
        <v>600000</v>
      </c>
      <c r="K50" s="9"/>
      <c r="L50" s="9"/>
      <c r="M50" s="9"/>
      <c r="N50" s="9"/>
      <c r="O50" s="9"/>
      <c r="P50" s="9"/>
      <c r="Q50" s="111"/>
      <c r="R50" s="106">
        <f>(Table1[[#This Row],[Commercial Bid Price per case for NOI ($)]]-Table1[[#This Row],[Pass-Thru Value per case ($)]])+Table1[[#This Row],[Region 1: Fixed Fee Per Case ($)]]</f>
        <v>0</v>
      </c>
      <c r="S50" s="25" t="e">
        <f>(Table1[[#This Row],[Commercial Bid Price per case for NOI ($)]]+Table1[[#This Row],[Region 1: Fixed Fee Per Case ($)]])/Table1[[#This Row],['# of CN Servings per case]]</f>
        <v>#DIV/0!</v>
      </c>
      <c r="T50" s="27" t="e">
        <f>Table1[[#This Row],[Total Cost Per Serving (N+O)/I]]*Table1[[#This Row],[Estimated Servings Annual]]</f>
        <v>#DIV/0!</v>
      </c>
      <c r="U50" s="125">
        <f>(Table1[[#This Row],[Commercial Bid Price per case for NOI ($)]]-Table1[[#This Row],[Pass-Thru Value per case ($)]])+Table1[[#This Row],[Region 2: Fixed Fee Per Case ($)]]</f>
        <v>0</v>
      </c>
      <c r="V50" s="21" t="e">
        <f>(Table1[[#This Row],[Commercial Bid Price per case for NOI ($)]]+Table1[[#This Row],[Region 2: Fixed Fee Per Case ($)]])/Table1[[#This Row],['# of CN Servings per case]]</f>
        <v>#DIV/0!</v>
      </c>
      <c r="W50" s="120" t="e">
        <f>Table1[[#This Row],[Total Cost Per Serving (N+P)/I]]*Table1[[#This Row],[Estimated Servings Annual]]</f>
        <v>#DIV/0!</v>
      </c>
    </row>
    <row r="51" spans="1:23" x14ac:dyDescent="0.25">
      <c r="A51" s="39" t="s">
        <v>29</v>
      </c>
      <c r="B51" s="34" t="s">
        <v>36</v>
      </c>
      <c r="C51" s="3" t="s">
        <v>145</v>
      </c>
      <c r="D51" s="29"/>
      <c r="E51" s="29"/>
      <c r="F51" s="29"/>
      <c r="G51" s="29"/>
      <c r="H51" s="29"/>
      <c r="I51" s="29"/>
      <c r="J51" s="95">
        <v>1000000</v>
      </c>
      <c r="K51" s="29"/>
      <c r="L51" s="29"/>
      <c r="M51" s="29"/>
      <c r="N51" s="29"/>
      <c r="O51" s="29"/>
      <c r="P51" s="29"/>
      <c r="Q51" s="112"/>
      <c r="R51" s="114">
        <f>(Table1[[#This Row],[Commercial Bid Price per case for NOI ($)]]-Table1[[#This Row],[Pass-Thru Value per case ($)]])+Table1[[#This Row],[Region 1: Fixed Fee Per Case ($)]]</f>
        <v>0</v>
      </c>
      <c r="S51" s="35" t="e">
        <f>(Table1[[#This Row],[Commercial Bid Price per case for NOI ($)]]+Table1[[#This Row],[Region 1: Fixed Fee Per Case ($)]])/Table1[[#This Row],['# of CN Servings per case]]</f>
        <v>#DIV/0!</v>
      </c>
      <c r="T51" s="107" t="e">
        <f>Table1[[#This Row],[Total Cost Per Serving (N+O)/I]]*Table1[[#This Row],[Estimated Servings Annual]]</f>
        <v>#DIV/0!</v>
      </c>
      <c r="U51" s="123">
        <f>(Table1[[#This Row],[Commercial Bid Price per case for NOI ($)]]-Table1[[#This Row],[Pass-Thru Value per case ($)]])+Table1[[#This Row],[Region 2: Fixed Fee Per Case ($)]]</f>
        <v>0</v>
      </c>
      <c r="V51" s="15" t="e">
        <f>(Table1[[#This Row],[Commercial Bid Price per case for NOI ($)]]+Table1[[#This Row],[Region 2: Fixed Fee Per Case ($)]])/Table1[[#This Row],['# of CN Servings per case]]</f>
        <v>#DIV/0!</v>
      </c>
      <c r="W51" s="115" t="e">
        <f>Table1[[#This Row],[Total Cost Per Serving (N+P)/I]]*Table1[[#This Row],[Estimated Servings Annual]]</f>
        <v>#DIV/0!</v>
      </c>
    </row>
    <row r="52" spans="1:23" x14ac:dyDescent="0.25">
      <c r="A52" s="39" t="s">
        <v>29</v>
      </c>
      <c r="B52" s="5" t="s">
        <v>36</v>
      </c>
      <c r="C52" s="6" t="s">
        <v>145</v>
      </c>
      <c r="D52" s="7"/>
      <c r="E52" s="7"/>
      <c r="F52" s="7"/>
      <c r="G52" s="7"/>
      <c r="H52" s="7"/>
      <c r="I52" s="7"/>
      <c r="J52" s="93">
        <v>1000000</v>
      </c>
      <c r="K52" s="7"/>
      <c r="L52" s="7"/>
      <c r="M52" s="7"/>
      <c r="N52" s="7"/>
      <c r="O52" s="7"/>
      <c r="P52" s="7"/>
      <c r="Q52" s="110"/>
      <c r="R52" s="105">
        <f>(Table1[[#This Row],[Commercial Bid Price per case for NOI ($)]]-Table1[[#This Row],[Pass-Thru Value per case ($)]])+Table1[[#This Row],[Region 1: Fixed Fee Per Case ($)]]</f>
        <v>0</v>
      </c>
      <c r="S52" s="26" t="e">
        <f>(Table1[[#This Row],[Commercial Bid Price per case for NOI ($)]]+Table1[[#This Row],[Region 1: Fixed Fee Per Case ($)]])/Table1[[#This Row],['# of CN Servings per case]]</f>
        <v>#DIV/0!</v>
      </c>
      <c r="T52" s="84" t="e">
        <f>Table1[[#This Row],[Total Cost Per Serving (N+O)/I]]*Table1[[#This Row],[Estimated Servings Annual]]</f>
        <v>#DIV/0!</v>
      </c>
      <c r="U52" s="124">
        <f>(Table1[[#This Row],[Commercial Bid Price per case for NOI ($)]]-Table1[[#This Row],[Pass-Thru Value per case ($)]])+Table1[[#This Row],[Region 2: Fixed Fee Per Case ($)]]</f>
        <v>0</v>
      </c>
      <c r="V52" s="18" t="e">
        <f>(Table1[[#This Row],[Commercial Bid Price per case for NOI ($)]]+Table1[[#This Row],[Region 2: Fixed Fee Per Case ($)]])/Table1[[#This Row],['# of CN Servings per case]]</f>
        <v>#DIV/0!</v>
      </c>
      <c r="W52" s="118" t="e">
        <f>Table1[[#This Row],[Total Cost Per Serving (N+P)/I]]*Table1[[#This Row],[Estimated Servings Annual]]</f>
        <v>#DIV/0!</v>
      </c>
    </row>
    <row r="53" spans="1:23" x14ac:dyDescent="0.25">
      <c r="A53" s="39" t="s">
        <v>29</v>
      </c>
      <c r="B53" s="5" t="s">
        <v>36</v>
      </c>
      <c r="C53" s="6" t="s">
        <v>146</v>
      </c>
      <c r="D53" s="7"/>
      <c r="E53" s="7"/>
      <c r="F53" s="7"/>
      <c r="G53" s="7"/>
      <c r="H53" s="7"/>
      <c r="I53" s="7"/>
      <c r="J53" s="93">
        <v>1000000</v>
      </c>
      <c r="K53" s="7"/>
      <c r="L53" s="7"/>
      <c r="M53" s="7"/>
      <c r="N53" s="7"/>
      <c r="O53" s="7"/>
      <c r="P53" s="7"/>
      <c r="Q53" s="110"/>
      <c r="R53" s="105">
        <f>(Table1[[#This Row],[Commercial Bid Price per case for NOI ($)]]-Table1[[#This Row],[Pass-Thru Value per case ($)]])+Table1[[#This Row],[Region 1: Fixed Fee Per Case ($)]]</f>
        <v>0</v>
      </c>
      <c r="S53" s="26" t="e">
        <f>(Table1[[#This Row],[Commercial Bid Price per case for NOI ($)]]+Table1[[#This Row],[Region 1: Fixed Fee Per Case ($)]])/Table1[[#This Row],['# of CN Servings per case]]</f>
        <v>#DIV/0!</v>
      </c>
      <c r="T53" s="84" t="e">
        <f>Table1[[#This Row],[Total Cost Per Serving (N+O)/I]]*Table1[[#This Row],[Estimated Servings Annual]]</f>
        <v>#DIV/0!</v>
      </c>
      <c r="U53" s="124">
        <f>(Table1[[#This Row],[Commercial Bid Price per case for NOI ($)]]-Table1[[#This Row],[Pass-Thru Value per case ($)]])+Table1[[#This Row],[Region 2: Fixed Fee Per Case ($)]]</f>
        <v>0</v>
      </c>
      <c r="V53" s="18" t="e">
        <f>(Table1[[#This Row],[Commercial Bid Price per case for NOI ($)]]+Table1[[#This Row],[Region 2: Fixed Fee Per Case ($)]])/Table1[[#This Row],['# of CN Servings per case]]</f>
        <v>#DIV/0!</v>
      </c>
      <c r="W53" s="118" t="e">
        <f>Table1[[#This Row],[Total Cost Per Serving (N+P)/I]]*Table1[[#This Row],[Estimated Servings Annual]]</f>
        <v>#DIV/0!</v>
      </c>
    </row>
    <row r="54" spans="1:23" x14ac:dyDescent="0.25">
      <c r="A54" s="39" t="s">
        <v>29</v>
      </c>
      <c r="B54" s="5" t="s">
        <v>36</v>
      </c>
      <c r="C54" s="6" t="s">
        <v>146</v>
      </c>
      <c r="D54" s="7"/>
      <c r="E54" s="7"/>
      <c r="F54" s="7"/>
      <c r="G54" s="7"/>
      <c r="H54" s="7"/>
      <c r="I54" s="7"/>
      <c r="J54" s="93">
        <v>1000000</v>
      </c>
      <c r="K54" s="7"/>
      <c r="L54" s="7"/>
      <c r="M54" s="7"/>
      <c r="N54" s="7"/>
      <c r="O54" s="7"/>
      <c r="P54" s="7"/>
      <c r="Q54" s="110"/>
      <c r="R54" s="105">
        <f>(Table1[[#This Row],[Commercial Bid Price per case for NOI ($)]]-Table1[[#This Row],[Pass-Thru Value per case ($)]])+Table1[[#This Row],[Region 1: Fixed Fee Per Case ($)]]</f>
        <v>0</v>
      </c>
      <c r="S54" s="26" t="e">
        <f>(Table1[[#This Row],[Commercial Bid Price per case for NOI ($)]]+Table1[[#This Row],[Region 1: Fixed Fee Per Case ($)]])/Table1[[#This Row],['# of CN Servings per case]]</f>
        <v>#DIV/0!</v>
      </c>
      <c r="T54" s="84" t="e">
        <f>Table1[[#This Row],[Total Cost Per Serving (N+O)/I]]*Table1[[#This Row],[Estimated Servings Annual]]</f>
        <v>#DIV/0!</v>
      </c>
      <c r="U54" s="124">
        <f>(Table1[[#This Row],[Commercial Bid Price per case for NOI ($)]]-Table1[[#This Row],[Pass-Thru Value per case ($)]])+Table1[[#This Row],[Region 2: Fixed Fee Per Case ($)]]</f>
        <v>0</v>
      </c>
      <c r="V54" s="18" t="e">
        <f>(Table1[[#This Row],[Commercial Bid Price per case for NOI ($)]]+Table1[[#This Row],[Region 2: Fixed Fee Per Case ($)]])/Table1[[#This Row],['# of CN Servings per case]]</f>
        <v>#DIV/0!</v>
      </c>
      <c r="W54" s="118" t="e">
        <f>Table1[[#This Row],[Total Cost Per Serving (N+P)/I]]*Table1[[#This Row],[Estimated Servings Annual]]</f>
        <v>#DIV/0!</v>
      </c>
    </row>
    <row r="55" spans="1:23" x14ac:dyDescent="0.25">
      <c r="A55" s="39" t="s">
        <v>29</v>
      </c>
      <c r="B55" s="5" t="s">
        <v>36</v>
      </c>
      <c r="C55" s="7" t="s">
        <v>13</v>
      </c>
      <c r="D55" s="7"/>
      <c r="E55" s="7"/>
      <c r="F55" s="7"/>
      <c r="G55" s="7"/>
      <c r="H55" s="7"/>
      <c r="I55" s="7"/>
      <c r="J55" s="93">
        <v>1000000</v>
      </c>
      <c r="K55" s="7"/>
      <c r="L55" s="7"/>
      <c r="M55" s="7"/>
      <c r="N55" s="7"/>
      <c r="O55" s="7"/>
      <c r="P55" s="7"/>
      <c r="Q55" s="110"/>
      <c r="R55" s="105">
        <f>(Table1[[#This Row],[Commercial Bid Price per case for NOI ($)]]-Table1[[#This Row],[Pass-Thru Value per case ($)]])+Table1[[#This Row],[Region 1: Fixed Fee Per Case ($)]]</f>
        <v>0</v>
      </c>
      <c r="S55" s="26" t="e">
        <f>(Table1[[#This Row],[Commercial Bid Price per case for NOI ($)]]+Table1[[#This Row],[Region 1: Fixed Fee Per Case ($)]])/Table1[[#This Row],['# of CN Servings per case]]</f>
        <v>#DIV/0!</v>
      </c>
      <c r="T55" s="84" t="e">
        <f>Table1[[#This Row],[Total Cost Per Serving (N+O)/I]]*Table1[[#This Row],[Estimated Servings Annual]]</f>
        <v>#DIV/0!</v>
      </c>
      <c r="U55" s="124">
        <f>(Table1[[#This Row],[Commercial Bid Price per case for NOI ($)]]-Table1[[#This Row],[Pass-Thru Value per case ($)]])+Table1[[#This Row],[Region 2: Fixed Fee Per Case ($)]]</f>
        <v>0</v>
      </c>
      <c r="V55" s="18" t="e">
        <f>(Table1[[#This Row],[Commercial Bid Price per case for NOI ($)]]+Table1[[#This Row],[Region 2: Fixed Fee Per Case ($)]])/Table1[[#This Row],['# of CN Servings per case]]</f>
        <v>#DIV/0!</v>
      </c>
      <c r="W55" s="118" t="e">
        <f>Table1[[#This Row],[Total Cost Per Serving (N+P)/I]]*Table1[[#This Row],[Estimated Servings Annual]]</f>
        <v>#DIV/0!</v>
      </c>
    </row>
    <row r="56" spans="1:23" x14ac:dyDescent="0.25">
      <c r="A56" s="39" t="s">
        <v>29</v>
      </c>
      <c r="B56" s="5" t="s">
        <v>36</v>
      </c>
      <c r="C56" s="7" t="s">
        <v>13</v>
      </c>
      <c r="D56" s="7"/>
      <c r="E56" s="7"/>
      <c r="F56" s="7"/>
      <c r="G56" s="7"/>
      <c r="H56" s="7"/>
      <c r="I56" s="7"/>
      <c r="J56" s="93">
        <v>1000000</v>
      </c>
      <c r="K56" s="7"/>
      <c r="L56" s="7"/>
      <c r="M56" s="7"/>
      <c r="N56" s="7"/>
      <c r="O56" s="7"/>
      <c r="P56" s="7"/>
      <c r="Q56" s="110"/>
      <c r="R56" s="105">
        <f>(Table1[[#This Row],[Commercial Bid Price per case for NOI ($)]]-Table1[[#This Row],[Pass-Thru Value per case ($)]])+Table1[[#This Row],[Region 1: Fixed Fee Per Case ($)]]</f>
        <v>0</v>
      </c>
      <c r="S56" s="26" t="e">
        <f>(Table1[[#This Row],[Commercial Bid Price per case for NOI ($)]]+Table1[[#This Row],[Region 1: Fixed Fee Per Case ($)]])/Table1[[#This Row],['# of CN Servings per case]]</f>
        <v>#DIV/0!</v>
      </c>
      <c r="T56" s="84" t="e">
        <f>Table1[[#This Row],[Total Cost Per Serving (N+O)/I]]*Table1[[#This Row],[Estimated Servings Annual]]</f>
        <v>#DIV/0!</v>
      </c>
      <c r="U56" s="124">
        <f>(Table1[[#This Row],[Commercial Bid Price per case for NOI ($)]]-Table1[[#This Row],[Pass-Thru Value per case ($)]])+Table1[[#This Row],[Region 2: Fixed Fee Per Case ($)]]</f>
        <v>0</v>
      </c>
      <c r="V56" s="18" t="e">
        <f>(Table1[[#This Row],[Commercial Bid Price per case for NOI ($)]]+Table1[[#This Row],[Region 2: Fixed Fee Per Case ($)]])/Table1[[#This Row],['# of CN Servings per case]]</f>
        <v>#DIV/0!</v>
      </c>
      <c r="W56" s="118" t="e">
        <f>Table1[[#This Row],[Total Cost Per Serving (N+P)/I]]*Table1[[#This Row],[Estimated Servings Annual]]</f>
        <v>#DIV/0!</v>
      </c>
    </row>
    <row r="57" spans="1:23" x14ac:dyDescent="0.25">
      <c r="A57" s="39" t="s">
        <v>29</v>
      </c>
      <c r="B57" s="5" t="s">
        <v>36</v>
      </c>
      <c r="C57" s="7" t="s">
        <v>13</v>
      </c>
      <c r="D57" s="7"/>
      <c r="E57" s="7"/>
      <c r="F57" s="7"/>
      <c r="G57" s="7"/>
      <c r="H57" s="7"/>
      <c r="I57" s="7"/>
      <c r="J57" s="93">
        <v>1000000</v>
      </c>
      <c r="K57" s="7"/>
      <c r="L57" s="7"/>
      <c r="M57" s="7"/>
      <c r="N57" s="7"/>
      <c r="O57" s="7"/>
      <c r="P57" s="7"/>
      <c r="Q57" s="110"/>
      <c r="R57" s="105">
        <f>(Table1[[#This Row],[Commercial Bid Price per case for NOI ($)]]-Table1[[#This Row],[Pass-Thru Value per case ($)]])+Table1[[#This Row],[Region 1: Fixed Fee Per Case ($)]]</f>
        <v>0</v>
      </c>
      <c r="S57" s="26" t="e">
        <f>(Table1[[#This Row],[Commercial Bid Price per case for NOI ($)]]+Table1[[#This Row],[Region 1: Fixed Fee Per Case ($)]])/Table1[[#This Row],['# of CN Servings per case]]</f>
        <v>#DIV/0!</v>
      </c>
      <c r="T57" s="84" t="e">
        <f>Table1[[#This Row],[Total Cost Per Serving (N+O)/I]]*Table1[[#This Row],[Estimated Servings Annual]]</f>
        <v>#DIV/0!</v>
      </c>
      <c r="U57" s="124">
        <f>(Table1[[#This Row],[Commercial Bid Price per case for NOI ($)]]-Table1[[#This Row],[Pass-Thru Value per case ($)]])+Table1[[#This Row],[Region 2: Fixed Fee Per Case ($)]]</f>
        <v>0</v>
      </c>
      <c r="V57" s="18" t="e">
        <f>(Table1[[#This Row],[Commercial Bid Price per case for NOI ($)]]+Table1[[#This Row],[Region 2: Fixed Fee Per Case ($)]])/Table1[[#This Row],['# of CN Servings per case]]</f>
        <v>#DIV/0!</v>
      </c>
      <c r="W57" s="118" t="e">
        <f>Table1[[#This Row],[Total Cost Per Serving (N+P)/I]]*Table1[[#This Row],[Estimated Servings Annual]]</f>
        <v>#DIV/0!</v>
      </c>
    </row>
    <row r="58" spans="1:23" ht="15.75" thickBot="1" x14ac:dyDescent="0.3">
      <c r="A58" s="40" t="s">
        <v>29</v>
      </c>
      <c r="B58" s="8" t="s">
        <v>36</v>
      </c>
      <c r="C58" s="9" t="s">
        <v>13</v>
      </c>
      <c r="D58" s="9"/>
      <c r="E58" s="9"/>
      <c r="F58" s="9"/>
      <c r="G58" s="9"/>
      <c r="H58" s="9"/>
      <c r="I58" s="9"/>
      <c r="J58" s="94">
        <v>1000000</v>
      </c>
      <c r="K58" s="9"/>
      <c r="L58" s="9"/>
      <c r="M58" s="9"/>
      <c r="N58" s="9"/>
      <c r="O58" s="9"/>
      <c r="P58" s="9"/>
      <c r="Q58" s="111"/>
      <c r="R58" s="106">
        <f>(Table1[[#This Row],[Commercial Bid Price per case for NOI ($)]]-Table1[[#This Row],[Pass-Thru Value per case ($)]])+Table1[[#This Row],[Region 1: Fixed Fee Per Case ($)]]</f>
        <v>0</v>
      </c>
      <c r="S58" s="27" t="e">
        <f>(Table1[[#This Row],[Commercial Bid Price per case for NOI ($)]]+Table1[[#This Row],[Region 1: Fixed Fee Per Case ($)]])/Table1[[#This Row],['# of CN Servings per case]]</f>
        <v>#DIV/0!</v>
      </c>
      <c r="T58" s="108" t="e">
        <f>Table1[[#This Row],[Total Cost Per Serving (N+O)/I]]*Table1[[#This Row],[Estimated Servings Annual]]</f>
        <v>#DIV/0!</v>
      </c>
      <c r="U58" s="125">
        <f>(Table1[[#This Row],[Commercial Bid Price per case for NOI ($)]]-Table1[[#This Row],[Pass-Thru Value per case ($)]])+Table1[[#This Row],[Region 2: Fixed Fee Per Case ($)]]</f>
        <v>0</v>
      </c>
      <c r="V58" s="21" t="e">
        <f>(Table1[[#This Row],[Commercial Bid Price per case for NOI ($)]]+Table1[[#This Row],[Region 2: Fixed Fee Per Case ($)]])/Table1[[#This Row],['# of CN Servings per case]]</f>
        <v>#DIV/0!</v>
      </c>
      <c r="W58" s="120" t="e">
        <f>Table1[[#This Row],[Total Cost Per Serving (N+P)/I]]*Table1[[#This Row],[Estimated Servings Annual]]</f>
        <v>#DIV/0!</v>
      </c>
    </row>
    <row r="59" spans="1:23" x14ac:dyDescent="0.25">
      <c r="A59" s="39" t="s">
        <v>29</v>
      </c>
      <c r="B59" s="2" t="s">
        <v>106</v>
      </c>
      <c r="C59" s="3" t="s">
        <v>145</v>
      </c>
      <c r="D59" s="4"/>
      <c r="E59" s="4"/>
      <c r="F59" s="4"/>
      <c r="G59" s="4"/>
      <c r="H59" s="4"/>
      <c r="I59" s="4"/>
      <c r="J59" s="92">
        <v>350000</v>
      </c>
      <c r="K59" s="4"/>
      <c r="L59" s="4"/>
      <c r="M59" s="4"/>
      <c r="N59" s="4"/>
      <c r="O59" s="4"/>
      <c r="P59" s="4"/>
      <c r="Q59" s="109"/>
      <c r="R59" s="104">
        <f>(Table1[[#This Row],[Commercial Bid Price per case for NOI ($)]]-Table1[[#This Row],[Pass-Thru Value per case ($)]])+Table1[[#This Row],[Region 1: Fixed Fee Per Case ($)]]</f>
        <v>0</v>
      </c>
      <c r="S59" s="31" t="e">
        <f>(Table1[[#This Row],[Commercial Bid Price per case for NOI ($)]]+Table1[[#This Row],[Region 1: Fixed Fee Per Case ($)]])/Table1[[#This Row],['# of CN Servings per case]]</f>
        <v>#DIV/0!</v>
      </c>
      <c r="T59" s="113" t="e">
        <f>Table1[[#This Row],[Total Cost Per Serving (N+O)/I]]*Table1[[#This Row],[Estimated Servings Annual]]</f>
        <v>#DIV/0!</v>
      </c>
      <c r="U59" s="123">
        <f>(Table1[[#This Row],[Commercial Bid Price per case for NOI ($)]]-Table1[[#This Row],[Pass-Thru Value per case ($)]])+Table1[[#This Row],[Region 2: Fixed Fee Per Case ($)]]</f>
        <v>0</v>
      </c>
      <c r="V59" s="15" t="e">
        <f>(Table1[[#This Row],[Commercial Bid Price per case for NOI ($)]]+Table1[[#This Row],[Region 2: Fixed Fee Per Case ($)]])/Table1[[#This Row],['# of CN Servings per case]]</f>
        <v>#DIV/0!</v>
      </c>
      <c r="W59" s="115" t="e">
        <f>Table1[[#This Row],[Total Cost Per Serving (N+P)/I]]*Table1[[#This Row],[Estimated Servings Annual]]</f>
        <v>#DIV/0!</v>
      </c>
    </row>
    <row r="60" spans="1:23" x14ac:dyDescent="0.25">
      <c r="A60" s="39" t="s">
        <v>29</v>
      </c>
      <c r="B60" s="5" t="s">
        <v>106</v>
      </c>
      <c r="C60" s="6" t="s">
        <v>145</v>
      </c>
      <c r="D60" s="7"/>
      <c r="E60" s="7"/>
      <c r="F60" s="7"/>
      <c r="G60" s="7"/>
      <c r="H60" s="7"/>
      <c r="I60" s="7"/>
      <c r="J60" s="93">
        <v>350000</v>
      </c>
      <c r="K60" s="7"/>
      <c r="L60" s="7"/>
      <c r="M60" s="7"/>
      <c r="N60" s="7"/>
      <c r="O60" s="7"/>
      <c r="P60" s="7"/>
      <c r="Q60" s="110"/>
      <c r="R60" s="105">
        <f>(Table1[[#This Row],[Commercial Bid Price per case for NOI ($)]]-Table1[[#This Row],[Pass-Thru Value per case ($)]])+Table1[[#This Row],[Region 1: Fixed Fee Per Case ($)]]</f>
        <v>0</v>
      </c>
      <c r="S60" s="24" t="e">
        <f>(Table1[[#This Row],[Commercial Bid Price per case for NOI ($)]]+Table1[[#This Row],[Region 1: Fixed Fee Per Case ($)]])/Table1[[#This Row],['# of CN Servings per case]]</f>
        <v>#DIV/0!</v>
      </c>
      <c r="T60" s="26" t="e">
        <f>Table1[[#This Row],[Total Cost Per Serving (N+O)/I]]*Table1[[#This Row],[Estimated Servings Annual]]</f>
        <v>#DIV/0!</v>
      </c>
      <c r="U60" s="124">
        <f>(Table1[[#This Row],[Commercial Bid Price per case for NOI ($)]]-Table1[[#This Row],[Pass-Thru Value per case ($)]])+Table1[[#This Row],[Region 2: Fixed Fee Per Case ($)]]</f>
        <v>0</v>
      </c>
      <c r="V60" s="18" t="e">
        <f>(Table1[[#This Row],[Commercial Bid Price per case for NOI ($)]]+Table1[[#This Row],[Region 2: Fixed Fee Per Case ($)]])/Table1[[#This Row],['# of CN Servings per case]]</f>
        <v>#DIV/0!</v>
      </c>
      <c r="W60" s="118" t="e">
        <f>Table1[[#This Row],[Total Cost Per Serving (N+P)/I]]*Table1[[#This Row],[Estimated Servings Annual]]</f>
        <v>#DIV/0!</v>
      </c>
    </row>
    <row r="61" spans="1:23" x14ac:dyDescent="0.25">
      <c r="A61" s="39" t="s">
        <v>29</v>
      </c>
      <c r="B61" s="5" t="s">
        <v>106</v>
      </c>
      <c r="C61" s="6" t="s">
        <v>146</v>
      </c>
      <c r="D61" s="7"/>
      <c r="E61" s="7"/>
      <c r="F61" s="7"/>
      <c r="G61" s="7"/>
      <c r="H61" s="7"/>
      <c r="I61" s="7"/>
      <c r="J61" s="93">
        <v>350000</v>
      </c>
      <c r="K61" s="7"/>
      <c r="L61" s="7"/>
      <c r="M61" s="7"/>
      <c r="N61" s="7"/>
      <c r="O61" s="7"/>
      <c r="P61" s="7"/>
      <c r="Q61" s="110"/>
      <c r="R61" s="105">
        <f>(Table1[[#This Row],[Commercial Bid Price per case for NOI ($)]]-Table1[[#This Row],[Pass-Thru Value per case ($)]])+Table1[[#This Row],[Region 1: Fixed Fee Per Case ($)]]</f>
        <v>0</v>
      </c>
      <c r="S61" s="24" t="e">
        <f>(Table1[[#This Row],[Commercial Bid Price per case for NOI ($)]]+Table1[[#This Row],[Region 1: Fixed Fee Per Case ($)]])/Table1[[#This Row],['# of CN Servings per case]]</f>
        <v>#DIV/0!</v>
      </c>
      <c r="T61" s="26" t="e">
        <f>Table1[[#This Row],[Total Cost Per Serving (N+O)/I]]*Table1[[#This Row],[Estimated Servings Annual]]</f>
        <v>#DIV/0!</v>
      </c>
      <c r="U61" s="124">
        <f>(Table1[[#This Row],[Commercial Bid Price per case for NOI ($)]]-Table1[[#This Row],[Pass-Thru Value per case ($)]])+Table1[[#This Row],[Region 2: Fixed Fee Per Case ($)]]</f>
        <v>0</v>
      </c>
      <c r="V61" s="18" t="e">
        <f>(Table1[[#This Row],[Commercial Bid Price per case for NOI ($)]]+Table1[[#This Row],[Region 2: Fixed Fee Per Case ($)]])/Table1[[#This Row],['# of CN Servings per case]]</f>
        <v>#DIV/0!</v>
      </c>
      <c r="W61" s="118" t="e">
        <f>Table1[[#This Row],[Total Cost Per Serving (N+P)/I]]*Table1[[#This Row],[Estimated Servings Annual]]</f>
        <v>#DIV/0!</v>
      </c>
    </row>
    <row r="62" spans="1:23" x14ac:dyDescent="0.25">
      <c r="A62" s="39" t="s">
        <v>29</v>
      </c>
      <c r="B62" s="5" t="s">
        <v>106</v>
      </c>
      <c r="C62" s="6" t="s">
        <v>146</v>
      </c>
      <c r="D62" s="7"/>
      <c r="E62" s="7"/>
      <c r="F62" s="7"/>
      <c r="G62" s="7"/>
      <c r="H62" s="7"/>
      <c r="I62" s="7"/>
      <c r="J62" s="93">
        <v>350000</v>
      </c>
      <c r="K62" s="7"/>
      <c r="L62" s="7"/>
      <c r="M62" s="7"/>
      <c r="N62" s="7"/>
      <c r="O62" s="7"/>
      <c r="P62" s="7"/>
      <c r="Q62" s="110"/>
      <c r="R62" s="105">
        <f>(Table1[[#This Row],[Commercial Bid Price per case for NOI ($)]]-Table1[[#This Row],[Pass-Thru Value per case ($)]])+Table1[[#This Row],[Region 1: Fixed Fee Per Case ($)]]</f>
        <v>0</v>
      </c>
      <c r="S62" s="24" t="e">
        <f>(Table1[[#This Row],[Commercial Bid Price per case for NOI ($)]]+Table1[[#This Row],[Region 1: Fixed Fee Per Case ($)]])/Table1[[#This Row],['# of CN Servings per case]]</f>
        <v>#DIV/0!</v>
      </c>
      <c r="T62" s="26" t="e">
        <f>Table1[[#This Row],[Total Cost Per Serving (N+O)/I]]*Table1[[#This Row],[Estimated Servings Annual]]</f>
        <v>#DIV/0!</v>
      </c>
      <c r="U62" s="124">
        <f>(Table1[[#This Row],[Commercial Bid Price per case for NOI ($)]]-Table1[[#This Row],[Pass-Thru Value per case ($)]])+Table1[[#This Row],[Region 2: Fixed Fee Per Case ($)]]</f>
        <v>0</v>
      </c>
      <c r="V62" s="18" t="e">
        <f>(Table1[[#This Row],[Commercial Bid Price per case for NOI ($)]]+Table1[[#This Row],[Region 2: Fixed Fee Per Case ($)]])/Table1[[#This Row],['# of CN Servings per case]]</f>
        <v>#DIV/0!</v>
      </c>
      <c r="W62" s="118" t="e">
        <f>Table1[[#This Row],[Total Cost Per Serving (N+P)/I]]*Table1[[#This Row],[Estimated Servings Annual]]</f>
        <v>#DIV/0!</v>
      </c>
    </row>
    <row r="63" spans="1:23" x14ac:dyDescent="0.25">
      <c r="A63" s="39" t="s">
        <v>29</v>
      </c>
      <c r="B63" s="5" t="s">
        <v>106</v>
      </c>
      <c r="C63" s="7" t="s">
        <v>13</v>
      </c>
      <c r="D63" s="7"/>
      <c r="E63" s="7"/>
      <c r="F63" s="7"/>
      <c r="G63" s="7"/>
      <c r="H63" s="7"/>
      <c r="I63" s="7"/>
      <c r="J63" s="93">
        <v>350000</v>
      </c>
      <c r="K63" s="7"/>
      <c r="L63" s="7"/>
      <c r="M63" s="7"/>
      <c r="N63" s="7"/>
      <c r="O63" s="7"/>
      <c r="P63" s="7"/>
      <c r="Q63" s="110"/>
      <c r="R63" s="105">
        <f>(Table1[[#This Row],[Commercial Bid Price per case for NOI ($)]]-Table1[[#This Row],[Pass-Thru Value per case ($)]])+Table1[[#This Row],[Region 1: Fixed Fee Per Case ($)]]</f>
        <v>0</v>
      </c>
      <c r="S63" s="24" t="e">
        <f>(Table1[[#This Row],[Commercial Bid Price per case for NOI ($)]]+Table1[[#This Row],[Region 1: Fixed Fee Per Case ($)]])/Table1[[#This Row],['# of CN Servings per case]]</f>
        <v>#DIV/0!</v>
      </c>
      <c r="T63" s="26" t="e">
        <f>Table1[[#This Row],[Total Cost Per Serving (N+O)/I]]*Table1[[#This Row],[Estimated Servings Annual]]</f>
        <v>#DIV/0!</v>
      </c>
      <c r="U63" s="124">
        <f>(Table1[[#This Row],[Commercial Bid Price per case for NOI ($)]]-Table1[[#This Row],[Pass-Thru Value per case ($)]])+Table1[[#This Row],[Region 2: Fixed Fee Per Case ($)]]</f>
        <v>0</v>
      </c>
      <c r="V63" s="18" t="e">
        <f>(Table1[[#This Row],[Commercial Bid Price per case for NOI ($)]]+Table1[[#This Row],[Region 2: Fixed Fee Per Case ($)]])/Table1[[#This Row],['# of CN Servings per case]]</f>
        <v>#DIV/0!</v>
      </c>
      <c r="W63" s="118" t="e">
        <f>Table1[[#This Row],[Total Cost Per Serving (N+P)/I]]*Table1[[#This Row],[Estimated Servings Annual]]</f>
        <v>#DIV/0!</v>
      </c>
    </row>
    <row r="64" spans="1:23" x14ac:dyDescent="0.25">
      <c r="A64" s="39" t="s">
        <v>29</v>
      </c>
      <c r="B64" s="5" t="s">
        <v>106</v>
      </c>
      <c r="C64" s="7" t="s">
        <v>13</v>
      </c>
      <c r="D64" s="7"/>
      <c r="E64" s="7"/>
      <c r="F64" s="7"/>
      <c r="G64" s="7"/>
      <c r="H64" s="7"/>
      <c r="I64" s="7"/>
      <c r="J64" s="93">
        <v>350000</v>
      </c>
      <c r="K64" s="7"/>
      <c r="L64" s="7"/>
      <c r="M64" s="7"/>
      <c r="N64" s="7"/>
      <c r="O64" s="7"/>
      <c r="P64" s="7"/>
      <c r="Q64" s="110"/>
      <c r="R64" s="105">
        <f>(Table1[[#This Row],[Commercial Bid Price per case for NOI ($)]]-Table1[[#This Row],[Pass-Thru Value per case ($)]])+Table1[[#This Row],[Region 1: Fixed Fee Per Case ($)]]</f>
        <v>0</v>
      </c>
      <c r="S64" s="24" t="e">
        <f>(Table1[[#This Row],[Commercial Bid Price per case for NOI ($)]]+Table1[[#This Row],[Region 1: Fixed Fee Per Case ($)]])/Table1[[#This Row],['# of CN Servings per case]]</f>
        <v>#DIV/0!</v>
      </c>
      <c r="T64" s="26" t="e">
        <f>Table1[[#This Row],[Total Cost Per Serving (N+O)/I]]*Table1[[#This Row],[Estimated Servings Annual]]</f>
        <v>#DIV/0!</v>
      </c>
      <c r="U64" s="124">
        <f>(Table1[[#This Row],[Commercial Bid Price per case for NOI ($)]]-Table1[[#This Row],[Pass-Thru Value per case ($)]])+Table1[[#This Row],[Region 2: Fixed Fee Per Case ($)]]</f>
        <v>0</v>
      </c>
      <c r="V64" s="18" t="e">
        <f>(Table1[[#This Row],[Commercial Bid Price per case for NOI ($)]]+Table1[[#This Row],[Region 2: Fixed Fee Per Case ($)]])/Table1[[#This Row],['# of CN Servings per case]]</f>
        <v>#DIV/0!</v>
      </c>
      <c r="W64" s="118" t="e">
        <f>Table1[[#This Row],[Total Cost Per Serving (N+P)/I]]*Table1[[#This Row],[Estimated Servings Annual]]</f>
        <v>#DIV/0!</v>
      </c>
    </row>
    <row r="65" spans="1:23" x14ac:dyDescent="0.25">
      <c r="A65" s="39" t="s">
        <v>29</v>
      </c>
      <c r="B65" s="5" t="s">
        <v>106</v>
      </c>
      <c r="C65" s="7" t="s">
        <v>13</v>
      </c>
      <c r="D65" s="7"/>
      <c r="E65" s="7"/>
      <c r="F65" s="7"/>
      <c r="G65" s="7"/>
      <c r="H65" s="7"/>
      <c r="I65" s="7"/>
      <c r="J65" s="93">
        <v>350000</v>
      </c>
      <c r="K65" s="7"/>
      <c r="L65" s="7"/>
      <c r="M65" s="7"/>
      <c r="N65" s="7"/>
      <c r="O65" s="7"/>
      <c r="P65" s="7"/>
      <c r="Q65" s="110"/>
      <c r="R65" s="105">
        <f>(Table1[[#This Row],[Commercial Bid Price per case for NOI ($)]]-Table1[[#This Row],[Pass-Thru Value per case ($)]])+Table1[[#This Row],[Region 1: Fixed Fee Per Case ($)]]</f>
        <v>0</v>
      </c>
      <c r="S65" s="24" t="e">
        <f>(Table1[[#This Row],[Commercial Bid Price per case for NOI ($)]]+Table1[[#This Row],[Region 1: Fixed Fee Per Case ($)]])/Table1[[#This Row],['# of CN Servings per case]]</f>
        <v>#DIV/0!</v>
      </c>
      <c r="T65" s="26" t="e">
        <f>Table1[[#This Row],[Total Cost Per Serving (N+O)/I]]*Table1[[#This Row],[Estimated Servings Annual]]</f>
        <v>#DIV/0!</v>
      </c>
      <c r="U65" s="124">
        <f>(Table1[[#This Row],[Commercial Bid Price per case for NOI ($)]]-Table1[[#This Row],[Pass-Thru Value per case ($)]])+Table1[[#This Row],[Region 2: Fixed Fee Per Case ($)]]</f>
        <v>0</v>
      </c>
      <c r="V65" s="18" t="e">
        <f>(Table1[[#This Row],[Commercial Bid Price per case for NOI ($)]]+Table1[[#This Row],[Region 2: Fixed Fee Per Case ($)]])/Table1[[#This Row],['# of CN Servings per case]]</f>
        <v>#DIV/0!</v>
      </c>
      <c r="W65" s="118" t="e">
        <f>Table1[[#This Row],[Total Cost Per Serving (N+P)/I]]*Table1[[#This Row],[Estimated Servings Annual]]</f>
        <v>#DIV/0!</v>
      </c>
    </row>
    <row r="66" spans="1:23" ht="15.75" thickBot="1" x14ac:dyDescent="0.3">
      <c r="A66" s="40" t="s">
        <v>29</v>
      </c>
      <c r="B66" s="8" t="s">
        <v>106</v>
      </c>
      <c r="C66" s="9" t="s">
        <v>13</v>
      </c>
      <c r="D66" s="9"/>
      <c r="E66" s="9"/>
      <c r="F66" s="9"/>
      <c r="G66" s="9"/>
      <c r="H66" s="9"/>
      <c r="I66" s="9"/>
      <c r="J66" s="94">
        <v>350000</v>
      </c>
      <c r="K66" s="9"/>
      <c r="L66" s="9"/>
      <c r="M66" s="9"/>
      <c r="N66" s="9"/>
      <c r="O66" s="9"/>
      <c r="P66" s="9"/>
      <c r="Q66" s="111"/>
      <c r="R66" s="106">
        <f>(Table1[[#This Row],[Commercial Bid Price per case for NOI ($)]]-Table1[[#This Row],[Pass-Thru Value per case ($)]])+Table1[[#This Row],[Region 1: Fixed Fee Per Case ($)]]</f>
        <v>0</v>
      </c>
      <c r="S66" s="25" t="e">
        <f>(Table1[[#This Row],[Commercial Bid Price per case for NOI ($)]]+Table1[[#This Row],[Region 1: Fixed Fee Per Case ($)]])/Table1[[#This Row],['# of CN Servings per case]]</f>
        <v>#DIV/0!</v>
      </c>
      <c r="T66" s="27" t="e">
        <f>Table1[[#This Row],[Total Cost Per Serving (N+O)/I]]*Table1[[#This Row],[Estimated Servings Annual]]</f>
        <v>#DIV/0!</v>
      </c>
      <c r="U66" s="125">
        <f>(Table1[[#This Row],[Commercial Bid Price per case for NOI ($)]]-Table1[[#This Row],[Pass-Thru Value per case ($)]])+Table1[[#This Row],[Region 2: Fixed Fee Per Case ($)]]</f>
        <v>0</v>
      </c>
      <c r="V66" s="21" t="e">
        <f>(Table1[[#This Row],[Commercial Bid Price per case for NOI ($)]]+Table1[[#This Row],[Region 2: Fixed Fee Per Case ($)]])/Table1[[#This Row],['# of CN Servings per case]]</f>
        <v>#DIV/0!</v>
      </c>
      <c r="W66" s="120" t="e">
        <f>Table1[[#This Row],[Total Cost Per Serving (N+P)/I]]*Table1[[#This Row],[Estimated Servings Annual]]</f>
        <v>#DIV/0!</v>
      </c>
    </row>
    <row r="67" spans="1:23" x14ac:dyDescent="0.25">
      <c r="A67" s="39" t="s">
        <v>29</v>
      </c>
      <c r="B67" s="2" t="s">
        <v>37</v>
      </c>
      <c r="C67" s="3" t="s">
        <v>145</v>
      </c>
      <c r="D67" s="4"/>
      <c r="E67" s="4"/>
      <c r="F67" s="4"/>
      <c r="G67" s="4"/>
      <c r="H67" s="4"/>
      <c r="I67" s="4"/>
      <c r="J67" s="92">
        <v>200000</v>
      </c>
      <c r="K67" s="4"/>
      <c r="L67" s="4"/>
      <c r="M67" s="4"/>
      <c r="N67" s="4"/>
      <c r="O67" s="4"/>
      <c r="P67" s="4"/>
      <c r="Q67" s="109"/>
      <c r="R67" s="104">
        <f>(Table1[[#This Row],[Commercial Bid Price per case for NOI ($)]]-Table1[[#This Row],[Pass-Thru Value per case ($)]])+Table1[[#This Row],[Region 1: Fixed Fee Per Case ($)]]</f>
        <v>0</v>
      </c>
      <c r="S67" s="31" t="e">
        <f>(Table1[[#This Row],[Commercial Bid Price per case for NOI ($)]]+Table1[[#This Row],[Region 1: Fixed Fee Per Case ($)]])/Table1[[#This Row],['# of CN Servings per case]]</f>
        <v>#DIV/0!</v>
      </c>
      <c r="T67" s="113" t="e">
        <f>Table1[[#This Row],[Total Cost Per Serving (N+O)/I]]*Table1[[#This Row],[Estimated Servings Annual]]</f>
        <v>#DIV/0!</v>
      </c>
      <c r="U67" s="123">
        <f>(Table1[[#This Row],[Commercial Bid Price per case for NOI ($)]]-Table1[[#This Row],[Pass-Thru Value per case ($)]])+Table1[[#This Row],[Region 2: Fixed Fee Per Case ($)]]</f>
        <v>0</v>
      </c>
      <c r="V67" s="15" t="e">
        <f>(Table1[[#This Row],[Commercial Bid Price per case for NOI ($)]]+Table1[[#This Row],[Region 2: Fixed Fee Per Case ($)]])/Table1[[#This Row],['# of CN Servings per case]]</f>
        <v>#DIV/0!</v>
      </c>
      <c r="W67" s="115" t="e">
        <f>Table1[[#This Row],[Total Cost Per Serving (N+P)/I]]*Table1[[#This Row],[Estimated Servings Annual]]</f>
        <v>#DIV/0!</v>
      </c>
    </row>
    <row r="68" spans="1:23" x14ac:dyDescent="0.25">
      <c r="A68" s="39" t="s">
        <v>29</v>
      </c>
      <c r="B68" s="5" t="s">
        <v>37</v>
      </c>
      <c r="C68" s="6" t="s">
        <v>145</v>
      </c>
      <c r="D68" s="7"/>
      <c r="E68" s="7"/>
      <c r="F68" s="7"/>
      <c r="G68" s="7"/>
      <c r="H68" s="7"/>
      <c r="I68" s="7"/>
      <c r="J68" s="93">
        <v>200000</v>
      </c>
      <c r="K68" s="7"/>
      <c r="L68" s="7"/>
      <c r="M68" s="7"/>
      <c r="N68" s="7"/>
      <c r="O68" s="7"/>
      <c r="P68" s="7"/>
      <c r="Q68" s="110"/>
      <c r="R68" s="105">
        <f>(Table1[[#This Row],[Commercial Bid Price per case for NOI ($)]]-Table1[[#This Row],[Pass-Thru Value per case ($)]])+Table1[[#This Row],[Region 1: Fixed Fee Per Case ($)]]</f>
        <v>0</v>
      </c>
      <c r="S68" s="24" t="e">
        <f>(Table1[[#This Row],[Commercial Bid Price per case for NOI ($)]]+Table1[[#This Row],[Region 1: Fixed Fee Per Case ($)]])/Table1[[#This Row],['# of CN Servings per case]]</f>
        <v>#DIV/0!</v>
      </c>
      <c r="T68" s="26" t="e">
        <f>Table1[[#This Row],[Total Cost Per Serving (N+O)/I]]*Table1[[#This Row],[Estimated Servings Annual]]</f>
        <v>#DIV/0!</v>
      </c>
      <c r="U68" s="124">
        <f>(Table1[[#This Row],[Commercial Bid Price per case for NOI ($)]]-Table1[[#This Row],[Pass-Thru Value per case ($)]])+Table1[[#This Row],[Region 2: Fixed Fee Per Case ($)]]</f>
        <v>0</v>
      </c>
      <c r="V68" s="18" t="e">
        <f>(Table1[[#This Row],[Commercial Bid Price per case for NOI ($)]]+Table1[[#This Row],[Region 2: Fixed Fee Per Case ($)]])/Table1[[#This Row],['# of CN Servings per case]]</f>
        <v>#DIV/0!</v>
      </c>
      <c r="W68" s="118" t="e">
        <f>Table1[[#This Row],[Total Cost Per Serving (N+P)/I]]*Table1[[#This Row],[Estimated Servings Annual]]</f>
        <v>#DIV/0!</v>
      </c>
    </row>
    <row r="69" spans="1:23" x14ac:dyDescent="0.25">
      <c r="A69" s="39" t="s">
        <v>29</v>
      </c>
      <c r="B69" s="5" t="s">
        <v>37</v>
      </c>
      <c r="C69" s="6" t="s">
        <v>146</v>
      </c>
      <c r="D69" s="7"/>
      <c r="E69" s="7"/>
      <c r="F69" s="7"/>
      <c r="G69" s="7"/>
      <c r="H69" s="7"/>
      <c r="I69" s="7"/>
      <c r="J69" s="93">
        <v>200000</v>
      </c>
      <c r="K69" s="7"/>
      <c r="L69" s="7"/>
      <c r="M69" s="7"/>
      <c r="N69" s="7"/>
      <c r="O69" s="7"/>
      <c r="P69" s="7"/>
      <c r="Q69" s="110"/>
      <c r="R69" s="105">
        <f>(Table1[[#This Row],[Commercial Bid Price per case for NOI ($)]]-Table1[[#This Row],[Pass-Thru Value per case ($)]])+Table1[[#This Row],[Region 1: Fixed Fee Per Case ($)]]</f>
        <v>0</v>
      </c>
      <c r="S69" s="24" t="e">
        <f>(Table1[[#This Row],[Commercial Bid Price per case for NOI ($)]]+Table1[[#This Row],[Region 1: Fixed Fee Per Case ($)]])/Table1[[#This Row],['# of CN Servings per case]]</f>
        <v>#DIV/0!</v>
      </c>
      <c r="T69" s="26" t="e">
        <f>Table1[[#This Row],[Total Cost Per Serving (N+O)/I]]*Table1[[#This Row],[Estimated Servings Annual]]</f>
        <v>#DIV/0!</v>
      </c>
      <c r="U69" s="124">
        <f>(Table1[[#This Row],[Commercial Bid Price per case for NOI ($)]]-Table1[[#This Row],[Pass-Thru Value per case ($)]])+Table1[[#This Row],[Region 2: Fixed Fee Per Case ($)]]</f>
        <v>0</v>
      </c>
      <c r="V69" s="18" t="e">
        <f>(Table1[[#This Row],[Commercial Bid Price per case for NOI ($)]]+Table1[[#This Row],[Region 2: Fixed Fee Per Case ($)]])/Table1[[#This Row],['# of CN Servings per case]]</f>
        <v>#DIV/0!</v>
      </c>
      <c r="W69" s="118" t="e">
        <f>Table1[[#This Row],[Total Cost Per Serving (N+P)/I]]*Table1[[#This Row],[Estimated Servings Annual]]</f>
        <v>#DIV/0!</v>
      </c>
    </row>
    <row r="70" spans="1:23" x14ac:dyDescent="0.25">
      <c r="A70" s="39" t="s">
        <v>29</v>
      </c>
      <c r="B70" s="5" t="s">
        <v>37</v>
      </c>
      <c r="C70" s="6" t="s">
        <v>146</v>
      </c>
      <c r="D70" s="7"/>
      <c r="E70" s="7"/>
      <c r="F70" s="7"/>
      <c r="G70" s="7"/>
      <c r="H70" s="7"/>
      <c r="I70" s="7"/>
      <c r="J70" s="93">
        <v>200000</v>
      </c>
      <c r="K70" s="7"/>
      <c r="L70" s="7"/>
      <c r="M70" s="7"/>
      <c r="N70" s="7"/>
      <c r="O70" s="7"/>
      <c r="P70" s="7"/>
      <c r="Q70" s="110"/>
      <c r="R70" s="105">
        <f>(Table1[[#This Row],[Commercial Bid Price per case for NOI ($)]]-Table1[[#This Row],[Pass-Thru Value per case ($)]])+Table1[[#This Row],[Region 1: Fixed Fee Per Case ($)]]</f>
        <v>0</v>
      </c>
      <c r="S70" s="24" t="e">
        <f>(Table1[[#This Row],[Commercial Bid Price per case for NOI ($)]]+Table1[[#This Row],[Region 1: Fixed Fee Per Case ($)]])/Table1[[#This Row],['# of CN Servings per case]]</f>
        <v>#DIV/0!</v>
      </c>
      <c r="T70" s="26" t="e">
        <f>Table1[[#This Row],[Total Cost Per Serving (N+O)/I]]*Table1[[#This Row],[Estimated Servings Annual]]</f>
        <v>#DIV/0!</v>
      </c>
      <c r="U70" s="124">
        <f>(Table1[[#This Row],[Commercial Bid Price per case for NOI ($)]]-Table1[[#This Row],[Pass-Thru Value per case ($)]])+Table1[[#This Row],[Region 2: Fixed Fee Per Case ($)]]</f>
        <v>0</v>
      </c>
      <c r="V70" s="18" t="e">
        <f>(Table1[[#This Row],[Commercial Bid Price per case for NOI ($)]]+Table1[[#This Row],[Region 2: Fixed Fee Per Case ($)]])/Table1[[#This Row],['# of CN Servings per case]]</f>
        <v>#DIV/0!</v>
      </c>
      <c r="W70" s="118" t="e">
        <f>Table1[[#This Row],[Total Cost Per Serving (N+P)/I]]*Table1[[#This Row],[Estimated Servings Annual]]</f>
        <v>#DIV/0!</v>
      </c>
    </row>
    <row r="71" spans="1:23" x14ac:dyDescent="0.25">
      <c r="A71" s="39" t="s">
        <v>29</v>
      </c>
      <c r="B71" s="5" t="s">
        <v>37</v>
      </c>
      <c r="C71" s="7" t="s">
        <v>13</v>
      </c>
      <c r="D71" s="7"/>
      <c r="E71" s="7"/>
      <c r="F71" s="7"/>
      <c r="G71" s="7"/>
      <c r="H71" s="7"/>
      <c r="I71" s="7"/>
      <c r="J71" s="93">
        <v>200000</v>
      </c>
      <c r="K71" s="7"/>
      <c r="L71" s="7"/>
      <c r="M71" s="7"/>
      <c r="N71" s="7"/>
      <c r="O71" s="7"/>
      <c r="P71" s="7"/>
      <c r="Q71" s="110"/>
      <c r="R71" s="105">
        <f>(Table1[[#This Row],[Commercial Bid Price per case for NOI ($)]]-Table1[[#This Row],[Pass-Thru Value per case ($)]])+Table1[[#This Row],[Region 1: Fixed Fee Per Case ($)]]</f>
        <v>0</v>
      </c>
      <c r="S71" s="24" t="e">
        <f>(Table1[[#This Row],[Commercial Bid Price per case for NOI ($)]]+Table1[[#This Row],[Region 1: Fixed Fee Per Case ($)]])/Table1[[#This Row],['# of CN Servings per case]]</f>
        <v>#DIV/0!</v>
      </c>
      <c r="T71" s="26" t="e">
        <f>Table1[[#This Row],[Total Cost Per Serving (N+O)/I]]*Table1[[#This Row],[Estimated Servings Annual]]</f>
        <v>#DIV/0!</v>
      </c>
      <c r="U71" s="124">
        <f>(Table1[[#This Row],[Commercial Bid Price per case for NOI ($)]]-Table1[[#This Row],[Pass-Thru Value per case ($)]])+Table1[[#This Row],[Region 2: Fixed Fee Per Case ($)]]</f>
        <v>0</v>
      </c>
      <c r="V71" s="18" t="e">
        <f>(Table1[[#This Row],[Commercial Bid Price per case for NOI ($)]]+Table1[[#This Row],[Region 2: Fixed Fee Per Case ($)]])/Table1[[#This Row],['# of CN Servings per case]]</f>
        <v>#DIV/0!</v>
      </c>
      <c r="W71" s="118" t="e">
        <f>Table1[[#This Row],[Total Cost Per Serving (N+P)/I]]*Table1[[#This Row],[Estimated Servings Annual]]</f>
        <v>#DIV/0!</v>
      </c>
    </row>
    <row r="72" spans="1:23" x14ac:dyDescent="0.25">
      <c r="A72" s="39" t="s">
        <v>29</v>
      </c>
      <c r="B72" s="5" t="s">
        <v>37</v>
      </c>
      <c r="C72" s="7" t="s">
        <v>13</v>
      </c>
      <c r="D72" s="7"/>
      <c r="E72" s="7"/>
      <c r="F72" s="7"/>
      <c r="G72" s="7"/>
      <c r="H72" s="7"/>
      <c r="I72" s="7"/>
      <c r="J72" s="93">
        <v>200000</v>
      </c>
      <c r="K72" s="7"/>
      <c r="L72" s="7"/>
      <c r="M72" s="7"/>
      <c r="N72" s="7"/>
      <c r="O72" s="7"/>
      <c r="P72" s="7"/>
      <c r="Q72" s="110"/>
      <c r="R72" s="105">
        <f>(Table1[[#This Row],[Commercial Bid Price per case for NOI ($)]]-Table1[[#This Row],[Pass-Thru Value per case ($)]])+Table1[[#This Row],[Region 1: Fixed Fee Per Case ($)]]</f>
        <v>0</v>
      </c>
      <c r="S72" s="24" t="e">
        <f>(Table1[[#This Row],[Commercial Bid Price per case for NOI ($)]]+Table1[[#This Row],[Region 1: Fixed Fee Per Case ($)]])/Table1[[#This Row],['# of CN Servings per case]]</f>
        <v>#DIV/0!</v>
      </c>
      <c r="T72" s="26" t="e">
        <f>Table1[[#This Row],[Total Cost Per Serving (N+O)/I]]*Table1[[#This Row],[Estimated Servings Annual]]</f>
        <v>#DIV/0!</v>
      </c>
      <c r="U72" s="124">
        <f>(Table1[[#This Row],[Commercial Bid Price per case for NOI ($)]]-Table1[[#This Row],[Pass-Thru Value per case ($)]])+Table1[[#This Row],[Region 2: Fixed Fee Per Case ($)]]</f>
        <v>0</v>
      </c>
      <c r="V72" s="18" t="e">
        <f>(Table1[[#This Row],[Commercial Bid Price per case for NOI ($)]]+Table1[[#This Row],[Region 2: Fixed Fee Per Case ($)]])/Table1[[#This Row],['# of CN Servings per case]]</f>
        <v>#DIV/0!</v>
      </c>
      <c r="W72" s="118" t="e">
        <f>Table1[[#This Row],[Total Cost Per Serving (N+P)/I]]*Table1[[#This Row],[Estimated Servings Annual]]</f>
        <v>#DIV/0!</v>
      </c>
    </row>
    <row r="73" spans="1:23" x14ac:dyDescent="0.25">
      <c r="A73" s="39" t="s">
        <v>29</v>
      </c>
      <c r="B73" s="5" t="s">
        <v>37</v>
      </c>
      <c r="C73" s="7" t="s">
        <v>13</v>
      </c>
      <c r="D73" s="7"/>
      <c r="E73" s="7"/>
      <c r="F73" s="7"/>
      <c r="G73" s="7"/>
      <c r="H73" s="7"/>
      <c r="I73" s="7"/>
      <c r="J73" s="93">
        <v>200000</v>
      </c>
      <c r="K73" s="7"/>
      <c r="L73" s="7"/>
      <c r="M73" s="7"/>
      <c r="N73" s="7"/>
      <c r="O73" s="7"/>
      <c r="P73" s="7"/>
      <c r="Q73" s="110"/>
      <c r="R73" s="105">
        <f>(Table1[[#This Row],[Commercial Bid Price per case for NOI ($)]]-Table1[[#This Row],[Pass-Thru Value per case ($)]])+Table1[[#This Row],[Region 1: Fixed Fee Per Case ($)]]</f>
        <v>0</v>
      </c>
      <c r="S73" s="24" t="e">
        <f>(Table1[[#This Row],[Commercial Bid Price per case for NOI ($)]]+Table1[[#This Row],[Region 1: Fixed Fee Per Case ($)]])/Table1[[#This Row],['# of CN Servings per case]]</f>
        <v>#DIV/0!</v>
      </c>
      <c r="T73" s="26" t="e">
        <f>Table1[[#This Row],[Total Cost Per Serving (N+O)/I]]*Table1[[#This Row],[Estimated Servings Annual]]</f>
        <v>#DIV/0!</v>
      </c>
      <c r="U73" s="124">
        <f>(Table1[[#This Row],[Commercial Bid Price per case for NOI ($)]]-Table1[[#This Row],[Pass-Thru Value per case ($)]])+Table1[[#This Row],[Region 2: Fixed Fee Per Case ($)]]</f>
        <v>0</v>
      </c>
      <c r="V73" s="18" t="e">
        <f>(Table1[[#This Row],[Commercial Bid Price per case for NOI ($)]]+Table1[[#This Row],[Region 2: Fixed Fee Per Case ($)]])/Table1[[#This Row],['# of CN Servings per case]]</f>
        <v>#DIV/0!</v>
      </c>
      <c r="W73" s="118" t="e">
        <f>Table1[[#This Row],[Total Cost Per Serving (N+P)/I]]*Table1[[#This Row],[Estimated Servings Annual]]</f>
        <v>#DIV/0!</v>
      </c>
    </row>
    <row r="74" spans="1:23" ht="15.75" thickBot="1" x14ac:dyDescent="0.3">
      <c r="A74" s="40" t="s">
        <v>29</v>
      </c>
      <c r="B74" s="8" t="s">
        <v>37</v>
      </c>
      <c r="C74" s="9" t="s">
        <v>13</v>
      </c>
      <c r="D74" s="9"/>
      <c r="E74" s="9"/>
      <c r="F74" s="9"/>
      <c r="G74" s="9"/>
      <c r="H74" s="9"/>
      <c r="I74" s="9"/>
      <c r="J74" s="94">
        <v>200000</v>
      </c>
      <c r="K74" s="9"/>
      <c r="L74" s="9"/>
      <c r="M74" s="9"/>
      <c r="N74" s="9"/>
      <c r="O74" s="9"/>
      <c r="P74" s="9"/>
      <c r="Q74" s="111"/>
      <c r="R74" s="106">
        <f>(Table1[[#This Row],[Commercial Bid Price per case for NOI ($)]]-Table1[[#This Row],[Pass-Thru Value per case ($)]])+Table1[[#This Row],[Region 1: Fixed Fee Per Case ($)]]</f>
        <v>0</v>
      </c>
      <c r="S74" s="25" t="e">
        <f>(Table1[[#This Row],[Commercial Bid Price per case for NOI ($)]]+Table1[[#This Row],[Region 1: Fixed Fee Per Case ($)]])/Table1[[#This Row],['# of CN Servings per case]]</f>
        <v>#DIV/0!</v>
      </c>
      <c r="T74" s="27" t="e">
        <f>Table1[[#This Row],[Total Cost Per Serving (N+O)/I]]*Table1[[#This Row],[Estimated Servings Annual]]</f>
        <v>#DIV/0!</v>
      </c>
      <c r="U74" s="125">
        <f>(Table1[[#This Row],[Commercial Bid Price per case for NOI ($)]]-Table1[[#This Row],[Pass-Thru Value per case ($)]])+Table1[[#This Row],[Region 2: Fixed Fee Per Case ($)]]</f>
        <v>0</v>
      </c>
      <c r="V74" s="21" t="e">
        <f>(Table1[[#This Row],[Commercial Bid Price per case for NOI ($)]]+Table1[[#This Row],[Region 2: Fixed Fee Per Case ($)]])/Table1[[#This Row],['# of CN Servings per case]]</f>
        <v>#DIV/0!</v>
      </c>
      <c r="W74" s="120" t="e">
        <f>Table1[[#This Row],[Total Cost Per Serving (N+P)/I]]*Table1[[#This Row],[Estimated Servings Annual]]</f>
        <v>#DIV/0!</v>
      </c>
    </row>
  </sheetData>
  <mergeCells count="3">
    <mergeCell ref="E1:G1"/>
    <mergeCell ref="R1:T1"/>
    <mergeCell ref="U1:W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4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V3" sqref="V3"/>
    </sheetView>
  </sheetViews>
  <sheetFormatPr defaultRowHeight="15" x14ac:dyDescent="0.25"/>
  <cols>
    <col min="1" max="1" width="11.140625" bestFit="1" customWidth="1"/>
    <col min="2" max="2" width="30.5703125" bestFit="1" customWidth="1"/>
    <col min="3" max="3" width="22" bestFit="1" customWidth="1"/>
    <col min="4" max="4" width="20.85546875" bestFit="1" customWidth="1"/>
    <col min="5" max="5" width="21" bestFit="1" customWidth="1"/>
    <col min="6" max="6" width="15.5703125" bestFit="1" customWidth="1"/>
    <col min="7" max="7" width="20.42578125" bestFit="1" customWidth="1"/>
    <col min="8" max="8" width="14.28515625" bestFit="1" customWidth="1"/>
    <col min="9" max="9" width="17.5703125" bestFit="1" customWidth="1"/>
    <col min="10" max="10" width="17.5703125" style="90" bestFit="1" customWidth="1"/>
    <col min="11" max="11" width="21.5703125" bestFit="1" customWidth="1"/>
    <col min="12" max="12" width="18.5703125" bestFit="1" customWidth="1"/>
    <col min="13" max="13" width="17.5703125" bestFit="1" customWidth="1"/>
    <col min="14" max="14" width="17.28515625" bestFit="1" customWidth="1"/>
    <col min="15" max="16" width="17.5703125" bestFit="1" customWidth="1"/>
    <col min="17" max="17" width="15.140625" bestFit="1" customWidth="1"/>
    <col min="18" max="18" width="16.42578125" customWidth="1"/>
    <col min="19" max="19" width="17.140625" bestFit="1" customWidth="1"/>
    <col min="20" max="20" width="15.5703125" bestFit="1" customWidth="1"/>
    <col min="21" max="21" width="16.140625" customWidth="1"/>
    <col min="22" max="22" width="16.85546875" bestFit="1" customWidth="1"/>
    <col min="23" max="23" width="15.5703125" bestFit="1" customWidth="1"/>
  </cols>
  <sheetData>
    <row r="1" spans="1:23" x14ac:dyDescent="0.25">
      <c r="D1" s="1" t="s">
        <v>149</v>
      </c>
      <c r="E1" s="137" t="str">
        <f>Instructions!A2</f>
        <v xml:space="preserve"> </v>
      </c>
      <c r="F1" s="137"/>
      <c r="G1" s="137"/>
      <c r="R1" s="134" t="s">
        <v>167</v>
      </c>
      <c r="S1" s="135"/>
      <c r="T1" s="136"/>
      <c r="U1" s="134" t="s">
        <v>168</v>
      </c>
      <c r="V1" s="135"/>
      <c r="W1" s="136"/>
    </row>
    <row r="2" spans="1:23" s="1" customFormat="1" ht="60.75" thickBot="1" x14ac:dyDescent="0.3">
      <c r="A2" s="1" t="s">
        <v>14</v>
      </c>
      <c r="B2" s="1" t="s">
        <v>3</v>
      </c>
      <c r="C2" s="1" t="s">
        <v>23</v>
      </c>
      <c r="D2" s="1" t="s">
        <v>154</v>
      </c>
      <c r="E2" s="1" t="s">
        <v>0</v>
      </c>
      <c r="F2" s="1" t="s">
        <v>4</v>
      </c>
      <c r="G2" s="1" t="s">
        <v>20</v>
      </c>
      <c r="H2" s="1" t="s">
        <v>1</v>
      </c>
      <c r="I2" s="1" t="s">
        <v>5</v>
      </c>
      <c r="J2" s="91" t="s">
        <v>6</v>
      </c>
      <c r="K2" s="1" t="s">
        <v>2</v>
      </c>
      <c r="L2" s="1" t="s">
        <v>21</v>
      </c>
      <c r="M2" s="71" t="s">
        <v>153</v>
      </c>
      <c r="N2" s="1" t="s">
        <v>22</v>
      </c>
      <c r="O2" s="1" t="s">
        <v>165</v>
      </c>
      <c r="P2" s="1" t="s">
        <v>166</v>
      </c>
      <c r="Q2" s="1" t="s">
        <v>19</v>
      </c>
      <c r="R2" s="101" t="s">
        <v>162</v>
      </c>
      <c r="S2" s="102" t="s">
        <v>163</v>
      </c>
      <c r="T2" s="103" t="s">
        <v>171</v>
      </c>
      <c r="U2" s="101" t="s">
        <v>169</v>
      </c>
      <c r="V2" s="102" t="s">
        <v>170</v>
      </c>
      <c r="W2" s="103" t="s">
        <v>172</v>
      </c>
    </row>
    <row r="3" spans="1:23" x14ac:dyDescent="0.25">
      <c r="A3" s="37" t="s">
        <v>38</v>
      </c>
      <c r="B3" s="2" t="s">
        <v>39</v>
      </c>
      <c r="C3" s="3" t="s">
        <v>147</v>
      </c>
      <c r="D3" s="4"/>
      <c r="E3" s="4"/>
      <c r="F3" s="4"/>
      <c r="G3" s="4"/>
      <c r="H3" s="4"/>
      <c r="I3" s="4"/>
      <c r="J3" s="92">
        <v>400000</v>
      </c>
      <c r="K3" s="4"/>
      <c r="L3" s="4"/>
      <c r="M3" s="4"/>
      <c r="N3" s="4"/>
      <c r="O3" s="4"/>
      <c r="P3" s="4"/>
      <c r="Q3" s="109"/>
      <c r="R3" s="104">
        <f>(Table15[[#This Row],[Commercial Bid Price per case for NOI ($)]]-Table15[[#This Row],[Pass-Thru Value per case ($)]])+Table15[[#This Row],[Region 1: Fixed Fee Per Case ($)]]</f>
        <v>0</v>
      </c>
      <c r="S3" s="15" t="e">
        <f>(Table15[[#This Row],[Commercial Bid Price per case for NOI ($)]]+Table15[[#This Row],[Region 1: Fixed Fee Per Case ($)]])/Table15[[#This Row],['# of CN Servings per case]]</f>
        <v>#DIV/0!</v>
      </c>
      <c r="T3" s="115" t="e">
        <f>Table15[[#This Row],[Total Cost Per Serving (N+O)/I]]*Table15[[#This Row],[Estimated Servings Annual]]</f>
        <v>#DIV/0!</v>
      </c>
      <c r="U3" s="104">
        <f>(Table15[[#This Row],[Commercial Bid Price per case for NOI ($)]]-Table15[[#This Row],[Pass-Thru Value per case ($)]])+Table15[[#This Row],[Region 2: Fixed Fee Per Case ($)]]</f>
        <v>0</v>
      </c>
      <c r="V3" s="16" t="e">
        <f>(Table15[[#This Row],[Commercial Bid Price per case for NOI ($)]]+Table15[[#This Row],[Region 2: Fixed Fee Per Case ($)]])/Table15[[#This Row],['# of CN Servings per case]]</f>
        <v>#DIV/0!</v>
      </c>
      <c r="W3" s="17" t="e">
        <f>Table15[[#This Row],[Total Cost Per Serving (N+P)/I]]*Table15[[#This Row],[Estimated Servings Annual]]</f>
        <v>#DIV/0!</v>
      </c>
    </row>
    <row r="4" spans="1:23" x14ac:dyDescent="0.25">
      <c r="A4" s="38" t="s">
        <v>38</v>
      </c>
      <c r="B4" s="5" t="s">
        <v>39</v>
      </c>
      <c r="C4" s="6" t="s">
        <v>147</v>
      </c>
      <c r="D4" s="7"/>
      <c r="E4" s="7"/>
      <c r="F4" s="7"/>
      <c r="G4" s="7"/>
      <c r="H4" s="7"/>
      <c r="I4" s="7"/>
      <c r="J4" s="93">
        <v>400000</v>
      </c>
      <c r="K4" s="7"/>
      <c r="L4" s="7"/>
      <c r="M4" s="7"/>
      <c r="N4" s="7"/>
      <c r="O4" s="7"/>
      <c r="P4" s="7"/>
      <c r="Q4" s="110"/>
      <c r="R4" s="105">
        <f>(Table15[[#This Row],[Commercial Bid Price per case for NOI ($)]]-Table15[[#This Row],[Pass-Thru Value per case ($)]])+Table15[[#This Row],[Region 1: Fixed Fee Per Case ($)]]</f>
        <v>0</v>
      </c>
      <c r="S4" s="18" t="e">
        <f>(Table15[[#This Row],[Commercial Bid Price per case for NOI ($)]]+Table15[[#This Row],[Region 1: Fixed Fee Per Case ($)]])/Table15[[#This Row],['# of CN Servings per case]]</f>
        <v>#DIV/0!</v>
      </c>
      <c r="T4" s="118" t="e">
        <f>Table15[[#This Row],[Total Cost Per Serving (N+O)/I]]*Table15[[#This Row],[Estimated Servings Annual]]</f>
        <v>#DIV/0!</v>
      </c>
      <c r="U4" s="105">
        <f>(Table15[[#This Row],[Commercial Bid Price per case for NOI ($)]]-Table15[[#This Row],[Pass-Thru Value per case ($)]])+Table15[[#This Row],[Region 2: Fixed Fee Per Case ($)]]</f>
        <v>0</v>
      </c>
      <c r="V4" s="19" t="e">
        <f>(Table15[[#This Row],[Commercial Bid Price per case for NOI ($)]]+Table15[[#This Row],[Region 2: Fixed Fee Per Case ($)]])/Table15[[#This Row],['# of CN Servings per case]]</f>
        <v>#DIV/0!</v>
      </c>
      <c r="W4" s="20" t="e">
        <f>Table15[[#This Row],[Total Cost Per Serving (N+P)/I]]*Table15[[#This Row],[Estimated Servings Annual]]</f>
        <v>#DIV/0!</v>
      </c>
    </row>
    <row r="5" spans="1:23" x14ac:dyDescent="0.25">
      <c r="A5" s="38" t="s">
        <v>38</v>
      </c>
      <c r="B5" s="5" t="s">
        <v>39</v>
      </c>
      <c r="C5" s="6" t="s">
        <v>109</v>
      </c>
      <c r="D5" s="7"/>
      <c r="E5" s="7"/>
      <c r="F5" s="7"/>
      <c r="G5" s="7"/>
      <c r="H5" s="7"/>
      <c r="I5" s="7"/>
      <c r="J5" s="93">
        <v>400000</v>
      </c>
      <c r="K5" s="7"/>
      <c r="L5" s="7"/>
      <c r="M5" s="7"/>
      <c r="N5" s="7"/>
      <c r="O5" s="7"/>
      <c r="P5" s="7"/>
      <c r="Q5" s="110"/>
      <c r="R5" s="105">
        <f>(Table15[[#This Row],[Commercial Bid Price per case for NOI ($)]]-Table15[[#This Row],[Pass-Thru Value per case ($)]])+Table15[[#This Row],[Region 1: Fixed Fee Per Case ($)]]</f>
        <v>0</v>
      </c>
      <c r="S5" s="18" t="e">
        <f>(Table15[[#This Row],[Commercial Bid Price per case for NOI ($)]]+Table15[[#This Row],[Region 1: Fixed Fee Per Case ($)]])/Table15[[#This Row],['# of CN Servings per case]]</f>
        <v>#DIV/0!</v>
      </c>
      <c r="T5" s="118" t="e">
        <f>Table15[[#This Row],[Total Cost Per Serving (N+O)/I]]*Table15[[#This Row],[Estimated Servings Annual]]</f>
        <v>#DIV/0!</v>
      </c>
      <c r="U5" s="105">
        <f>(Table15[[#This Row],[Commercial Bid Price per case for NOI ($)]]-Table15[[#This Row],[Pass-Thru Value per case ($)]])+Table15[[#This Row],[Region 2: Fixed Fee Per Case ($)]]</f>
        <v>0</v>
      </c>
      <c r="V5" s="19" t="e">
        <f>(Table15[[#This Row],[Commercial Bid Price per case for NOI ($)]]+Table15[[#This Row],[Region 2: Fixed Fee Per Case ($)]])/Table15[[#This Row],['# of CN Servings per case]]</f>
        <v>#DIV/0!</v>
      </c>
      <c r="W5" s="20" t="e">
        <f>Table15[[#This Row],[Total Cost Per Serving (N+P)/I]]*Table15[[#This Row],[Estimated Servings Annual]]</f>
        <v>#DIV/0!</v>
      </c>
    </row>
    <row r="6" spans="1:23" x14ac:dyDescent="0.25">
      <c r="A6" s="38" t="s">
        <v>38</v>
      </c>
      <c r="B6" s="5" t="s">
        <v>39</v>
      </c>
      <c r="C6" s="6" t="s">
        <v>109</v>
      </c>
      <c r="D6" s="7"/>
      <c r="E6" s="7"/>
      <c r="F6" s="7"/>
      <c r="G6" s="7"/>
      <c r="H6" s="7"/>
      <c r="I6" s="7"/>
      <c r="J6" s="93">
        <v>400000</v>
      </c>
      <c r="K6" s="7"/>
      <c r="L6" s="7"/>
      <c r="M6" s="7"/>
      <c r="N6" s="7"/>
      <c r="O6" s="7"/>
      <c r="P6" s="7"/>
      <c r="Q6" s="110"/>
      <c r="R6" s="105">
        <f>(Table15[[#This Row],[Commercial Bid Price per case for NOI ($)]]-Table15[[#This Row],[Pass-Thru Value per case ($)]])+Table15[[#This Row],[Region 1: Fixed Fee Per Case ($)]]</f>
        <v>0</v>
      </c>
      <c r="S6" s="18" t="e">
        <f>(Table15[[#This Row],[Commercial Bid Price per case for NOI ($)]]+Table15[[#This Row],[Region 1: Fixed Fee Per Case ($)]])/Table15[[#This Row],['# of CN Servings per case]]</f>
        <v>#DIV/0!</v>
      </c>
      <c r="T6" s="118" t="e">
        <f>Table15[[#This Row],[Total Cost Per Serving (N+O)/I]]*Table15[[#This Row],[Estimated Servings Annual]]</f>
        <v>#DIV/0!</v>
      </c>
      <c r="U6" s="105">
        <f>(Table15[[#This Row],[Commercial Bid Price per case for NOI ($)]]-Table15[[#This Row],[Pass-Thru Value per case ($)]])+Table15[[#This Row],[Region 2: Fixed Fee Per Case ($)]]</f>
        <v>0</v>
      </c>
      <c r="V6" s="19" t="e">
        <f>(Table15[[#This Row],[Commercial Bid Price per case for NOI ($)]]+Table15[[#This Row],[Region 2: Fixed Fee Per Case ($)]])/Table15[[#This Row],['# of CN Servings per case]]</f>
        <v>#DIV/0!</v>
      </c>
      <c r="W6" s="20" t="e">
        <f>Table15[[#This Row],[Total Cost Per Serving (N+P)/I]]*Table15[[#This Row],[Estimated Servings Annual]]</f>
        <v>#DIV/0!</v>
      </c>
    </row>
    <row r="7" spans="1:23" x14ac:dyDescent="0.25">
      <c r="A7" s="38" t="s">
        <v>38</v>
      </c>
      <c r="B7" s="5" t="s">
        <v>39</v>
      </c>
      <c r="C7" s="7" t="s">
        <v>13</v>
      </c>
      <c r="D7" s="7"/>
      <c r="E7" s="7"/>
      <c r="F7" s="7"/>
      <c r="G7" s="7"/>
      <c r="H7" s="7"/>
      <c r="I7" s="7"/>
      <c r="J7" s="93">
        <v>400000</v>
      </c>
      <c r="K7" s="7"/>
      <c r="L7" s="7"/>
      <c r="M7" s="7"/>
      <c r="N7" s="7"/>
      <c r="O7" s="7"/>
      <c r="P7" s="7"/>
      <c r="Q7" s="110"/>
      <c r="R7" s="105">
        <f>(Table15[[#This Row],[Commercial Bid Price per case for NOI ($)]]-Table15[[#This Row],[Pass-Thru Value per case ($)]])+Table15[[#This Row],[Region 1: Fixed Fee Per Case ($)]]</f>
        <v>0</v>
      </c>
      <c r="S7" s="18" t="e">
        <f>(Table15[[#This Row],[Commercial Bid Price per case for NOI ($)]]+Table15[[#This Row],[Region 1: Fixed Fee Per Case ($)]])/Table15[[#This Row],['# of CN Servings per case]]</f>
        <v>#DIV/0!</v>
      </c>
      <c r="T7" s="118" t="e">
        <f>Table15[[#This Row],[Total Cost Per Serving (N+O)/I]]*Table15[[#This Row],[Estimated Servings Annual]]</f>
        <v>#DIV/0!</v>
      </c>
      <c r="U7" s="105">
        <f>(Table15[[#This Row],[Commercial Bid Price per case for NOI ($)]]-Table15[[#This Row],[Pass-Thru Value per case ($)]])+Table15[[#This Row],[Region 2: Fixed Fee Per Case ($)]]</f>
        <v>0</v>
      </c>
      <c r="V7" s="19" t="e">
        <f>(Table15[[#This Row],[Commercial Bid Price per case for NOI ($)]]+Table15[[#This Row],[Region 2: Fixed Fee Per Case ($)]])/Table15[[#This Row],['# of CN Servings per case]]</f>
        <v>#DIV/0!</v>
      </c>
      <c r="W7" s="20" t="e">
        <f>Table15[[#This Row],[Total Cost Per Serving (N+P)/I]]*Table15[[#This Row],[Estimated Servings Annual]]</f>
        <v>#DIV/0!</v>
      </c>
    </row>
    <row r="8" spans="1:23" x14ac:dyDescent="0.25">
      <c r="A8" s="38" t="s">
        <v>38</v>
      </c>
      <c r="B8" s="5" t="s">
        <v>39</v>
      </c>
      <c r="C8" s="7" t="s">
        <v>13</v>
      </c>
      <c r="D8" s="7"/>
      <c r="E8" s="7"/>
      <c r="F8" s="7"/>
      <c r="G8" s="7"/>
      <c r="H8" s="7"/>
      <c r="I8" s="7"/>
      <c r="J8" s="93">
        <v>400000</v>
      </c>
      <c r="K8" s="7"/>
      <c r="L8" s="7"/>
      <c r="M8" s="7"/>
      <c r="N8" s="7"/>
      <c r="O8" s="7"/>
      <c r="P8" s="7"/>
      <c r="Q8" s="110"/>
      <c r="R8" s="105">
        <f>(Table15[[#This Row],[Commercial Bid Price per case for NOI ($)]]-Table15[[#This Row],[Pass-Thru Value per case ($)]])+Table15[[#This Row],[Region 1: Fixed Fee Per Case ($)]]</f>
        <v>0</v>
      </c>
      <c r="S8" s="18" t="e">
        <f>(Table15[[#This Row],[Commercial Bid Price per case for NOI ($)]]+Table15[[#This Row],[Region 1: Fixed Fee Per Case ($)]])/Table15[[#This Row],['# of CN Servings per case]]</f>
        <v>#DIV/0!</v>
      </c>
      <c r="T8" s="118" t="e">
        <f>Table15[[#This Row],[Total Cost Per Serving (N+O)/I]]*Table15[[#This Row],[Estimated Servings Annual]]</f>
        <v>#DIV/0!</v>
      </c>
      <c r="U8" s="105">
        <f>(Table15[[#This Row],[Commercial Bid Price per case for NOI ($)]]-Table15[[#This Row],[Pass-Thru Value per case ($)]])+Table15[[#This Row],[Region 2: Fixed Fee Per Case ($)]]</f>
        <v>0</v>
      </c>
      <c r="V8" s="19" t="e">
        <f>(Table15[[#This Row],[Commercial Bid Price per case for NOI ($)]]+Table15[[#This Row],[Region 2: Fixed Fee Per Case ($)]])/Table15[[#This Row],['# of CN Servings per case]]</f>
        <v>#DIV/0!</v>
      </c>
      <c r="W8" s="20" t="e">
        <f>Table15[[#This Row],[Total Cost Per Serving (N+P)/I]]*Table15[[#This Row],[Estimated Servings Annual]]</f>
        <v>#DIV/0!</v>
      </c>
    </row>
    <row r="9" spans="1:23" x14ac:dyDescent="0.25">
      <c r="A9" s="38" t="s">
        <v>38</v>
      </c>
      <c r="B9" s="5" t="s">
        <v>39</v>
      </c>
      <c r="C9" s="7" t="s">
        <v>13</v>
      </c>
      <c r="D9" s="7"/>
      <c r="E9" s="7"/>
      <c r="F9" s="7"/>
      <c r="G9" s="7"/>
      <c r="H9" s="7"/>
      <c r="I9" s="7"/>
      <c r="J9" s="93">
        <v>400000</v>
      </c>
      <c r="K9" s="7"/>
      <c r="L9" s="7"/>
      <c r="M9" s="7"/>
      <c r="N9" s="7"/>
      <c r="O9" s="7"/>
      <c r="P9" s="7"/>
      <c r="Q9" s="110"/>
      <c r="R9" s="105">
        <f>(Table15[[#This Row],[Commercial Bid Price per case for NOI ($)]]-Table15[[#This Row],[Pass-Thru Value per case ($)]])+Table15[[#This Row],[Region 1: Fixed Fee Per Case ($)]]</f>
        <v>0</v>
      </c>
      <c r="S9" s="18" t="e">
        <f>(Table15[[#This Row],[Commercial Bid Price per case for NOI ($)]]+Table15[[#This Row],[Region 1: Fixed Fee Per Case ($)]])/Table15[[#This Row],['# of CN Servings per case]]</f>
        <v>#DIV/0!</v>
      </c>
      <c r="T9" s="118" t="e">
        <f>Table15[[#This Row],[Total Cost Per Serving (N+O)/I]]*Table15[[#This Row],[Estimated Servings Annual]]</f>
        <v>#DIV/0!</v>
      </c>
      <c r="U9" s="105">
        <f>(Table15[[#This Row],[Commercial Bid Price per case for NOI ($)]]-Table15[[#This Row],[Pass-Thru Value per case ($)]])+Table15[[#This Row],[Region 2: Fixed Fee Per Case ($)]]</f>
        <v>0</v>
      </c>
      <c r="V9" s="19" t="e">
        <f>(Table15[[#This Row],[Commercial Bid Price per case for NOI ($)]]+Table15[[#This Row],[Region 2: Fixed Fee Per Case ($)]])/Table15[[#This Row],['# of CN Servings per case]]</f>
        <v>#DIV/0!</v>
      </c>
      <c r="W9" s="20" t="e">
        <f>Table15[[#This Row],[Total Cost Per Serving (N+P)/I]]*Table15[[#This Row],[Estimated Servings Annual]]</f>
        <v>#DIV/0!</v>
      </c>
    </row>
    <row r="10" spans="1:23" ht="15.75" thickBot="1" x14ac:dyDescent="0.3">
      <c r="A10" s="38" t="s">
        <v>38</v>
      </c>
      <c r="B10" s="8" t="s">
        <v>39</v>
      </c>
      <c r="C10" s="9" t="s">
        <v>13</v>
      </c>
      <c r="D10" s="9"/>
      <c r="E10" s="9"/>
      <c r="F10" s="9"/>
      <c r="G10" s="9"/>
      <c r="H10" s="9"/>
      <c r="I10" s="9"/>
      <c r="J10" s="94">
        <v>400000</v>
      </c>
      <c r="K10" s="9"/>
      <c r="L10" s="9"/>
      <c r="M10" s="9"/>
      <c r="N10" s="9"/>
      <c r="O10" s="9"/>
      <c r="P10" s="9"/>
      <c r="Q10" s="111"/>
      <c r="R10" s="106">
        <f>(Table15[[#This Row],[Commercial Bid Price per case for NOI ($)]]-Table15[[#This Row],[Pass-Thru Value per case ($)]])+Table15[[#This Row],[Region 1: Fixed Fee Per Case ($)]]</f>
        <v>0</v>
      </c>
      <c r="S10" s="21" t="e">
        <f>(Table15[[#This Row],[Commercial Bid Price per case for NOI ($)]]+Table15[[#This Row],[Region 1: Fixed Fee Per Case ($)]])/Table15[[#This Row],['# of CN Servings per case]]</f>
        <v>#DIV/0!</v>
      </c>
      <c r="T10" s="120" t="e">
        <f>Table15[[#This Row],[Total Cost Per Serving (N+O)/I]]*Table15[[#This Row],[Estimated Servings Annual]]</f>
        <v>#DIV/0!</v>
      </c>
      <c r="U10" s="106">
        <f>(Table15[[#This Row],[Commercial Bid Price per case for NOI ($)]]-Table15[[#This Row],[Pass-Thru Value per case ($)]])+Table15[[#This Row],[Region 2: Fixed Fee Per Case ($)]]</f>
        <v>0</v>
      </c>
      <c r="V10" s="22" t="e">
        <f>(Table15[[#This Row],[Commercial Bid Price per case for NOI ($)]]+Table15[[#This Row],[Region 2: Fixed Fee Per Case ($)]])/Table15[[#This Row],['# of CN Servings per case]]</f>
        <v>#DIV/0!</v>
      </c>
      <c r="W10" s="23" t="e">
        <f>Table15[[#This Row],[Total Cost Per Serving (N+P)/I]]*Table15[[#This Row],[Estimated Servings Annual]]</f>
        <v>#DIV/0!</v>
      </c>
    </row>
    <row r="11" spans="1:23" x14ac:dyDescent="0.25">
      <c r="A11" s="38" t="s">
        <v>38</v>
      </c>
      <c r="B11" s="2" t="s">
        <v>40</v>
      </c>
      <c r="C11" s="3" t="s">
        <v>147</v>
      </c>
      <c r="D11" s="4"/>
      <c r="E11" s="4"/>
      <c r="F11" s="4"/>
      <c r="G11" s="4"/>
      <c r="H11" s="4"/>
      <c r="I11" s="4"/>
      <c r="J11" s="92">
        <v>150000</v>
      </c>
      <c r="K11" s="4"/>
      <c r="L11" s="4"/>
      <c r="M11" s="4"/>
      <c r="N11" s="4"/>
      <c r="O11" s="4"/>
      <c r="P11" s="4"/>
      <c r="Q11" s="109"/>
      <c r="R11" s="104">
        <f>(Table15[[#This Row],[Commercial Bid Price per case for NOI ($)]]-Table15[[#This Row],[Pass-Thru Value per case ($)]])+Table15[[#This Row],[Region 1: Fixed Fee Per Case ($)]]</f>
        <v>0</v>
      </c>
      <c r="S11" s="15" t="e">
        <f>(Table15[[#This Row],[Commercial Bid Price per case for NOI ($)]]+Table15[[#This Row],[Region 1: Fixed Fee Per Case ($)]])/Table15[[#This Row],['# of CN Servings per case]]</f>
        <v>#DIV/0!</v>
      </c>
      <c r="T11" s="115" t="e">
        <f>Table15[[#This Row],[Total Cost Per Serving (N+O)/I]]*Table15[[#This Row],[Estimated Servings Annual]]</f>
        <v>#DIV/0!</v>
      </c>
      <c r="U11" s="104">
        <f>(Table15[[#This Row],[Commercial Bid Price per case for NOI ($)]]-Table15[[#This Row],[Pass-Thru Value per case ($)]])+Table15[[#This Row],[Region 2: Fixed Fee Per Case ($)]]</f>
        <v>0</v>
      </c>
      <c r="V11" s="16" t="e">
        <f>(Table15[[#This Row],[Commercial Bid Price per case for NOI ($)]]+Table15[[#This Row],[Region 2: Fixed Fee Per Case ($)]])/Table15[[#This Row],['# of CN Servings per case]]</f>
        <v>#DIV/0!</v>
      </c>
      <c r="W11" s="17" t="e">
        <f>Table15[[#This Row],[Total Cost Per Serving (N+P)/I]]*Table15[[#This Row],[Estimated Servings Annual]]</f>
        <v>#DIV/0!</v>
      </c>
    </row>
    <row r="12" spans="1:23" x14ac:dyDescent="0.25">
      <c r="A12" s="38" t="s">
        <v>38</v>
      </c>
      <c r="B12" s="5" t="s">
        <v>40</v>
      </c>
      <c r="C12" s="6" t="s">
        <v>147</v>
      </c>
      <c r="D12" s="7"/>
      <c r="E12" s="7"/>
      <c r="F12" s="7"/>
      <c r="G12" s="7"/>
      <c r="H12" s="7"/>
      <c r="I12" s="7"/>
      <c r="J12" s="93">
        <v>150000</v>
      </c>
      <c r="K12" s="7"/>
      <c r="L12" s="7"/>
      <c r="M12" s="7"/>
      <c r="N12" s="7"/>
      <c r="O12" s="7"/>
      <c r="P12" s="7"/>
      <c r="Q12" s="110"/>
      <c r="R12" s="105">
        <f>(Table15[[#This Row],[Commercial Bid Price per case for NOI ($)]]-Table15[[#This Row],[Pass-Thru Value per case ($)]])+Table15[[#This Row],[Region 1: Fixed Fee Per Case ($)]]</f>
        <v>0</v>
      </c>
      <c r="S12" s="18" t="e">
        <f>(Table15[[#This Row],[Commercial Bid Price per case for NOI ($)]]+Table15[[#This Row],[Region 1: Fixed Fee Per Case ($)]])/Table15[[#This Row],['# of CN Servings per case]]</f>
        <v>#DIV/0!</v>
      </c>
      <c r="T12" s="118" t="e">
        <f>Table15[[#This Row],[Total Cost Per Serving (N+O)/I]]*Table15[[#This Row],[Estimated Servings Annual]]</f>
        <v>#DIV/0!</v>
      </c>
      <c r="U12" s="105">
        <f>(Table15[[#This Row],[Commercial Bid Price per case for NOI ($)]]-Table15[[#This Row],[Pass-Thru Value per case ($)]])+Table15[[#This Row],[Region 2: Fixed Fee Per Case ($)]]</f>
        <v>0</v>
      </c>
      <c r="V12" s="19" t="e">
        <f>(Table15[[#This Row],[Commercial Bid Price per case for NOI ($)]]+Table15[[#This Row],[Region 2: Fixed Fee Per Case ($)]])/Table15[[#This Row],['# of CN Servings per case]]</f>
        <v>#DIV/0!</v>
      </c>
      <c r="W12" s="20" t="e">
        <f>Table15[[#This Row],[Total Cost Per Serving (N+P)/I]]*Table15[[#This Row],[Estimated Servings Annual]]</f>
        <v>#DIV/0!</v>
      </c>
    </row>
    <row r="13" spans="1:23" x14ac:dyDescent="0.25">
      <c r="A13" s="38" t="s">
        <v>38</v>
      </c>
      <c r="B13" s="5" t="s">
        <v>40</v>
      </c>
      <c r="C13" s="6" t="s">
        <v>109</v>
      </c>
      <c r="D13" s="7"/>
      <c r="E13" s="7"/>
      <c r="F13" s="7"/>
      <c r="G13" s="7"/>
      <c r="H13" s="7"/>
      <c r="I13" s="7"/>
      <c r="J13" s="93">
        <v>150000</v>
      </c>
      <c r="K13" s="7"/>
      <c r="L13" s="7"/>
      <c r="M13" s="7"/>
      <c r="N13" s="7"/>
      <c r="O13" s="7"/>
      <c r="P13" s="7"/>
      <c r="Q13" s="110"/>
      <c r="R13" s="105">
        <f>(Table15[[#This Row],[Commercial Bid Price per case for NOI ($)]]-Table15[[#This Row],[Pass-Thru Value per case ($)]])+Table15[[#This Row],[Region 1: Fixed Fee Per Case ($)]]</f>
        <v>0</v>
      </c>
      <c r="S13" s="18" t="e">
        <f>(Table15[[#This Row],[Commercial Bid Price per case for NOI ($)]]+Table15[[#This Row],[Region 1: Fixed Fee Per Case ($)]])/Table15[[#This Row],['# of CN Servings per case]]</f>
        <v>#DIV/0!</v>
      </c>
      <c r="T13" s="118" t="e">
        <f>Table15[[#This Row],[Total Cost Per Serving (N+O)/I]]*Table15[[#This Row],[Estimated Servings Annual]]</f>
        <v>#DIV/0!</v>
      </c>
      <c r="U13" s="105">
        <f>(Table15[[#This Row],[Commercial Bid Price per case for NOI ($)]]-Table15[[#This Row],[Pass-Thru Value per case ($)]])+Table15[[#This Row],[Region 2: Fixed Fee Per Case ($)]]</f>
        <v>0</v>
      </c>
      <c r="V13" s="19" t="e">
        <f>(Table15[[#This Row],[Commercial Bid Price per case for NOI ($)]]+Table15[[#This Row],[Region 2: Fixed Fee Per Case ($)]])/Table15[[#This Row],['# of CN Servings per case]]</f>
        <v>#DIV/0!</v>
      </c>
      <c r="W13" s="20" t="e">
        <f>Table15[[#This Row],[Total Cost Per Serving (N+P)/I]]*Table15[[#This Row],[Estimated Servings Annual]]</f>
        <v>#DIV/0!</v>
      </c>
    </row>
    <row r="14" spans="1:23" x14ac:dyDescent="0.25">
      <c r="A14" s="38" t="s">
        <v>38</v>
      </c>
      <c r="B14" s="5" t="s">
        <v>40</v>
      </c>
      <c r="C14" s="6" t="s">
        <v>109</v>
      </c>
      <c r="D14" s="7"/>
      <c r="E14" s="7"/>
      <c r="F14" s="7"/>
      <c r="G14" s="7"/>
      <c r="H14" s="7"/>
      <c r="I14" s="7"/>
      <c r="J14" s="93">
        <v>150000</v>
      </c>
      <c r="K14" s="7"/>
      <c r="L14" s="7"/>
      <c r="M14" s="7"/>
      <c r="N14" s="7"/>
      <c r="O14" s="7"/>
      <c r="P14" s="7"/>
      <c r="Q14" s="110"/>
      <c r="R14" s="105">
        <f>(Table15[[#This Row],[Commercial Bid Price per case for NOI ($)]]-Table15[[#This Row],[Pass-Thru Value per case ($)]])+Table15[[#This Row],[Region 1: Fixed Fee Per Case ($)]]</f>
        <v>0</v>
      </c>
      <c r="S14" s="18" t="e">
        <f>(Table15[[#This Row],[Commercial Bid Price per case for NOI ($)]]+Table15[[#This Row],[Region 1: Fixed Fee Per Case ($)]])/Table15[[#This Row],['# of CN Servings per case]]</f>
        <v>#DIV/0!</v>
      </c>
      <c r="T14" s="118" t="e">
        <f>Table15[[#This Row],[Total Cost Per Serving (N+O)/I]]*Table15[[#This Row],[Estimated Servings Annual]]</f>
        <v>#DIV/0!</v>
      </c>
      <c r="U14" s="105">
        <f>(Table15[[#This Row],[Commercial Bid Price per case for NOI ($)]]-Table15[[#This Row],[Pass-Thru Value per case ($)]])+Table15[[#This Row],[Region 2: Fixed Fee Per Case ($)]]</f>
        <v>0</v>
      </c>
      <c r="V14" s="19" t="e">
        <f>(Table15[[#This Row],[Commercial Bid Price per case for NOI ($)]]+Table15[[#This Row],[Region 2: Fixed Fee Per Case ($)]])/Table15[[#This Row],['# of CN Servings per case]]</f>
        <v>#DIV/0!</v>
      </c>
      <c r="W14" s="20" t="e">
        <f>Table15[[#This Row],[Total Cost Per Serving (N+P)/I]]*Table15[[#This Row],[Estimated Servings Annual]]</f>
        <v>#DIV/0!</v>
      </c>
    </row>
    <row r="15" spans="1:23" x14ac:dyDescent="0.25">
      <c r="A15" s="38" t="s">
        <v>38</v>
      </c>
      <c r="B15" s="5" t="s">
        <v>40</v>
      </c>
      <c r="C15" s="7" t="s">
        <v>13</v>
      </c>
      <c r="D15" s="7"/>
      <c r="E15" s="7"/>
      <c r="F15" s="7"/>
      <c r="G15" s="7"/>
      <c r="H15" s="7"/>
      <c r="I15" s="7"/>
      <c r="J15" s="93">
        <v>150000</v>
      </c>
      <c r="K15" s="7"/>
      <c r="L15" s="7"/>
      <c r="M15" s="7"/>
      <c r="N15" s="7"/>
      <c r="O15" s="7"/>
      <c r="P15" s="7"/>
      <c r="Q15" s="110"/>
      <c r="R15" s="105">
        <f>(Table15[[#This Row],[Commercial Bid Price per case for NOI ($)]]-Table15[[#This Row],[Pass-Thru Value per case ($)]])+Table15[[#This Row],[Region 1: Fixed Fee Per Case ($)]]</f>
        <v>0</v>
      </c>
      <c r="S15" s="18" t="e">
        <f>(Table15[[#This Row],[Commercial Bid Price per case for NOI ($)]]+Table15[[#This Row],[Region 1: Fixed Fee Per Case ($)]])/Table15[[#This Row],['# of CN Servings per case]]</f>
        <v>#DIV/0!</v>
      </c>
      <c r="T15" s="118" t="e">
        <f>Table15[[#This Row],[Total Cost Per Serving (N+O)/I]]*Table15[[#This Row],[Estimated Servings Annual]]</f>
        <v>#DIV/0!</v>
      </c>
      <c r="U15" s="105">
        <f>(Table15[[#This Row],[Commercial Bid Price per case for NOI ($)]]-Table15[[#This Row],[Pass-Thru Value per case ($)]])+Table15[[#This Row],[Region 2: Fixed Fee Per Case ($)]]</f>
        <v>0</v>
      </c>
      <c r="V15" s="19" t="e">
        <f>(Table15[[#This Row],[Commercial Bid Price per case for NOI ($)]]+Table15[[#This Row],[Region 2: Fixed Fee Per Case ($)]])/Table15[[#This Row],['# of CN Servings per case]]</f>
        <v>#DIV/0!</v>
      </c>
      <c r="W15" s="20" t="e">
        <f>Table15[[#This Row],[Total Cost Per Serving (N+P)/I]]*Table15[[#This Row],[Estimated Servings Annual]]</f>
        <v>#DIV/0!</v>
      </c>
    </row>
    <row r="16" spans="1:23" x14ac:dyDescent="0.25">
      <c r="A16" s="38" t="s">
        <v>38</v>
      </c>
      <c r="B16" s="5" t="s">
        <v>40</v>
      </c>
      <c r="C16" s="7" t="s">
        <v>13</v>
      </c>
      <c r="D16" s="7"/>
      <c r="E16" s="7"/>
      <c r="F16" s="7"/>
      <c r="G16" s="7"/>
      <c r="H16" s="7"/>
      <c r="I16" s="7"/>
      <c r="J16" s="93">
        <v>150000</v>
      </c>
      <c r="K16" s="7"/>
      <c r="L16" s="7"/>
      <c r="M16" s="7"/>
      <c r="N16" s="7"/>
      <c r="O16" s="7"/>
      <c r="P16" s="7"/>
      <c r="Q16" s="110"/>
      <c r="R16" s="105">
        <f>(Table15[[#This Row],[Commercial Bid Price per case for NOI ($)]]-Table15[[#This Row],[Pass-Thru Value per case ($)]])+Table15[[#This Row],[Region 1: Fixed Fee Per Case ($)]]</f>
        <v>0</v>
      </c>
      <c r="S16" s="18" t="e">
        <f>(Table15[[#This Row],[Commercial Bid Price per case for NOI ($)]]+Table15[[#This Row],[Region 1: Fixed Fee Per Case ($)]])/Table15[[#This Row],['# of CN Servings per case]]</f>
        <v>#DIV/0!</v>
      </c>
      <c r="T16" s="118" t="e">
        <f>Table15[[#This Row],[Total Cost Per Serving (N+O)/I]]*Table15[[#This Row],[Estimated Servings Annual]]</f>
        <v>#DIV/0!</v>
      </c>
      <c r="U16" s="105">
        <f>(Table15[[#This Row],[Commercial Bid Price per case for NOI ($)]]-Table15[[#This Row],[Pass-Thru Value per case ($)]])+Table15[[#This Row],[Region 2: Fixed Fee Per Case ($)]]</f>
        <v>0</v>
      </c>
      <c r="V16" s="19" t="e">
        <f>(Table15[[#This Row],[Commercial Bid Price per case for NOI ($)]]+Table15[[#This Row],[Region 2: Fixed Fee Per Case ($)]])/Table15[[#This Row],['# of CN Servings per case]]</f>
        <v>#DIV/0!</v>
      </c>
      <c r="W16" s="20" t="e">
        <f>Table15[[#This Row],[Total Cost Per Serving (N+P)/I]]*Table15[[#This Row],[Estimated Servings Annual]]</f>
        <v>#DIV/0!</v>
      </c>
    </row>
    <row r="17" spans="1:23" x14ac:dyDescent="0.25">
      <c r="A17" s="38" t="s">
        <v>38</v>
      </c>
      <c r="B17" s="5" t="s">
        <v>40</v>
      </c>
      <c r="C17" s="7" t="s">
        <v>13</v>
      </c>
      <c r="D17" s="7"/>
      <c r="E17" s="7"/>
      <c r="F17" s="7"/>
      <c r="G17" s="7"/>
      <c r="H17" s="7"/>
      <c r="I17" s="7"/>
      <c r="J17" s="93">
        <v>150000</v>
      </c>
      <c r="K17" s="7"/>
      <c r="L17" s="7"/>
      <c r="M17" s="7"/>
      <c r="N17" s="7"/>
      <c r="O17" s="7"/>
      <c r="P17" s="7"/>
      <c r="Q17" s="110"/>
      <c r="R17" s="105">
        <f>(Table15[[#This Row],[Commercial Bid Price per case for NOI ($)]]-Table15[[#This Row],[Pass-Thru Value per case ($)]])+Table15[[#This Row],[Region 1: Fixed Fee Per Case ($)]]</f>
        <v>0</v>
      </c>
      <c r="S17" s="18" t="e">
        <f>(Table15[[#This Row],[Commercial Bid Price per case for NOI ($)]]+Table15[[#This Row],[Region 1: Fixed Fee Per Case ($)]])/Table15[[#This Row],['# of CN Servings per case]]</f>
        <v>#DIV/0!</v>
      </c>
      <c r="T17" s="118" t="e">
        <f>Table15[[#This Row],[Total Cost Per Serving (N+O)/I]]*Table15[[#This Row],[Estimated Servings Annual]]</f>
        <v>#DIV/0!</v>
      </c>
      <c r="U17" s="105">
        <f>(Table15[[#This Row],[Commercial Bid Price per case for NOI ($)]]-Table15[[#This Row],[Pass-Thru Value per case ($)]])+Table15[[#This Row],[Region 2: Fixed Fee Per Case ($)]]</f>
        <v>0</v>
      </c>
      <c r="V17" s="19" t="e">
        <f>(Table15[[#This Row],[Commercial Bid Price per case for NOI ($)]]+Table15[[#This Row],[Region 2: Fixed Fee Per Case ($)]])/Table15[[#This Row],['# of CN Servings per case]]</f>
        <v>#DIV/0!</v>
      </c>
      <c r="W17" s="20" t="e">
        <f>Table15[[#This Row],[Total Cost Per Serving (N+P)/I]]*Table15[[#This Row],[Estimated Servings Annual]]</f>
        <v>#DIV/0!</v>
      </c>
    </row>
    <row r="18" spans="1:23" ht="15.75" thickBot="1" x14ac:dyDescent="0.3">
      <c r="A18" s="38" t="s">
        <v>38</v>
      </c>
      <c r="B18" s="8" t="s">
        <v>40</v>
      </c>
      <c r="C18" s="9" t="s">
        <v>13</v>
      </c>
      <c r="D18" s="9"/>
      <c r="E18" s="9"/>
      <c r="F18" s="9"/>
      <c r="G18" s="9"/>
      <c r="H18" s="9"/>
      <c r="I18" s="9"/>
      <c r="J18" s="94">
        <v>150000</v>
      </c>
      <c r="K18" s="9"/>
      <c r="L18" s="9"/>
      <c r="M18" s="9"/>
      <c r="N18" s="9"/>
      <c r="O18" s="9"/>
      <c r="P18" s="9"/>
      <c r="Q18" s="111"/>
      <c r="R18" s="106">
        <f>(Table15[[#This Row],[Commercial Bid Price per case for NOI ($)]]-Table15[[#This Row],[Pass-Thru Value per case ($)]])+Table15[[#This Row],[Region 1: Fixed Fee Per Case ($)]]</f>
        <v>0</v>
      </c>
      <c r="S18" s="21" t="e">
        <f>(Table15[[#This Row],[Commercial Bid Price per case for NOI ($)]]+Table15[[#This Row],[Region 1: Fixed Fee Per Case ($)]])/Table15[[#This Row],['# of CN Servings per case]]</f>
        <v>#DIV/0!</v>
      </c>
      <c r="T18" s="120" t="e">
        <f>Table15[[#This Row],[Total Cost Per Serving (N+O)/I]]*Table15[[#This Row],[Estimated Servings Annual]]</f>
        <v>#DIV/0!</v>
      </c>
      <c r="U18" s="106">
        <f>(Table15[[#This Row],[Commercial Bid Price per case for NOI ($)]]-Table15[[#This Row],[Pass-Thru Value per case ($)]])+Table15[[#This Row],[Region 2: Fixed Fee Per Case ($)]]</f>
        <v>0</v>
      </c>
      <c r="V18" s="22" t="e">
        <f>(Table15[[#This Row],[Commercial Bid Price per case for NOI ($)]]+Table15[[#This Row],[Region 2: Fixed Fee Per Case ($)]])/Table15[[#This Row],['# of CN Servings per case]]</f>
        <v>#DIV/0!</v>
      </c>
      <c r="W18" s="23" t="e">
        <f>Table15[[#This Row],[Total Cost Per Serving (N+P)/I]]*Table15[[#This Row],[Estimated Servings Annual]]</f>
        <v>#DIV/0!</v>
      </c>
    </row>
    <row r="19" spans="1:23" x14ac:dyDescent="0.25">
      <c r="A19" s="38" t="s">
        <v>38</v>
      </c>
      <c r="B19" s="2" t="s">
        <v>41</v>
      </c>
      <c r="C19" s="3" t="s">
        <v>147</v>
      </c>
      <c r="D19" s="4"/>
      <c r="E19" s="4"/>
      <c r="F19" s="4"/>
      <c r="G19" s="4"/>
      <c r="H19" s="4"/>
      <c r="I19" s="4"/>
      <c r="J19" s="92">
        <v>300000</v>
      </c>
      <c r="K19" s="4"/>
      <c r="L19" s="4"/>
      <c r="M19" s="4"/>
      <c r="N19" s="4"/>
      <c r="O19" s="4"/>
      <c r="P19" s="4"/>
      <c r="Q19" s="109"/>
      <c r="R19" s="104">
        <f>(Table15[[#This Row],[Commercial Bid Price per case for NOI ($)]]-Table15[[#This Row],[Pass-Thru Value per case ($)]])+Table15[[#This Row],[Region 1: Fixed Fee Per Case ($)]]</f>
        <v>0</v>
      </c>
      <c r="S19" s="15" t="e">
        <f>(Table15[[#This Row],[Commercial Bid Price per case for NOI ($)]]+Table15[[#This Row],[Region 1: Fixed Fee Per Case ($)]])/Table15[[#This Row],['# of CN Servings per case]]</f>
        <v>#DIV/0!</v>
      </c>
      <c r="T19" s="115" t="e">
        <f>Table15[[#This Row],[Total Cost Per Serving (N+O)/I]]*Table15[[#This Row],[Estimated Servings Annual]]</f>
        <v>#DIV/0!</v>
      </c>
      <c r="U19" s="104">
        <f>(Table15[[#This Row],[Commercial Bid Price per case for NOI ($)]]-Table15[[#This Row],[Pass-Thru Value per case ($)]])+Table15[[#This Row],[Region 2: Fixed Fee Per Case ($)]]</f>
        <v>0</v>
      </c>
      <c r="V19" s="16" t="e">
        <f>(Table15[[#This Row],[Commercial Bid Price per case for NOI ($)]]+Table15[[#This Row],[Region 2: Fixed Fee Per Case ($)]])/Table15[[#This Row],['# of CN Servings per case]]</f>
        <v>#DIV/0!</v>
      </c>
      <c r="W19" s="17" t="e">
        <f>Table15[[#This Row],[Total Cost Per Serving (N+P)/I]]*Table15[[#This Row],[Estimated Servings Annual]]</f>
        <v>#DIV/0!</v>
      </c>
    </row>
    <row r="20" spans="1:23" x14ac:dyDescent="0.25">
      <c r="A20" s="38" t="s">
        <v>38</v>
      </c>
      <c r="B20" s="5" t="s">
        <v>41</v>
      </c>
      <c r="C20" s="6" t="s">
        <v>147</v>
      </c>
      <c r="D20" s="7"/>
      <c r="E20" s="7"/>
      <c r="F20" s="7"/>
      <c r="G20" s="7"/>
      <c r="H20" s="7"/>
      <c r="I20" s="7"/>
      <c r="J20" s="93">
        <v>300000</v>
      </c>
      <c r="K20" s="7"/>
      <c r="L20" s="7"/>
      <c r="M20" s="7"/>
      <c r="N20" s="7"/>
      <c r="O20" s="7"/>
      <c r="P20" s="7"/>
      <c r="Q20" s="110"/>
      <c r="R20" s="105">
        <f>(Table15[[#This Row],[Commercial Bid Price per case for NOI ($)]]-Table15[[#This Row],[Pass-Thru Value per case ($)]])+Table15[[#This Row],[Region 1: Fixed Fee Per Case ($)]]</f>
        <v>0</v>
      </c>
      <c r="S20" s="18" t="e">
        <f>(Table15[[#This Row],[Commercial Bid Price per case for NOI ($)]]+Table15[[#This Row],[Region 1: Fixed Fee Per Case ($)]])/Table15[[#This Row],['# of CN Servings per case]]</f>
        <v>#DIV/0!</v>
      </c>
      <c r="T20" s="118" t="e">
        <f>Table15[[#This Row],[Total Cost Per Serving (N+O)/I]]*Table15[[#This Row],[Estimated Servings Annual]]</f>
        <v>#DIV/0!</v>
      </c>
      <c r="U20" s="105">
        <f>(Table15[[#This Row],[Commercial Bid Price per case for NOI ($)]]-Table15[[#This Row],[Pass-Thru Value per case ($)]])+Table15[[#This Row],[Region 2: Fixed Fee Per Case ($)]]</f>
        <v>0</v>
      </c>
      <c r="V20" s="19" t="e">
        <f>(Table15[[#This Row],[Commercial Bid Price per case for NOI ($)]]+Table15[[#This Row],[Region 2: Fixed Fee Per Case ($)]])/Table15[[#This Row],['# of CN Servings per case]]</f>
        <v>#DIV/0!</v>
      </c>
      <c r="W20" s="20" t="e">
        <f>Table15[[#This Row],[Total Cost Per Serving (N+P)/I]]*Table15[[#This Row],[Estimated Servings Annual]]</f>
        <v>#DIV/0!</v>
      </c>
    </row>
    <row r="21" spans="1:23" x14ac:dyDescent="0.25">
      <c r="A21" s="38" t="s">
        <v>38</v>
      </c>
      <c r="B21" s="5" t="s">
        <v>41</v>
      </c>
      <c r="C21" s="6" t="s">
        <v>109</v>
      </c>
      <c r="D21" s="7"/>
      <c r="E21" s="7"/>
      <c r="F21" s="7"/>
      <c r="G21" s="7"/>
      <c r="H21" s="7"/>
      <c r="I21" s="7"/>
      <c r="J21" s="93">
        <v>300000</v>
      </c>
      <c r="K21" s="7"/>
      <c r="L21" s="7"/>
      <c r="M21" s="7"/>
      <c r="N21" s="7"/>
      <c r="O21" s="7"/>
      <c r="P21" s="7"/>
      <c r="Q21" s="110"/>
      <c r="R21" s="105">
        <f>(Table15[[#This Row],[Commercial Bid Price per case for NOI ($)]]-Table15[[#This Row],[Pass-Thru Value per case ($)]])+Table15[[#This Row],[Region 1: Fixed Fee Per Case ($)]]</f>
        <v>0</v>
      </c>
      <c r="S21" s="18" t="e">
        <f>(Table15[[#This Row],[Commercial Bid Price per case for NOI ($)]]+Table15[[#This Row],[Region 1: Fixed Fee Per Case ($)]])/Table15[[#This Row],['# of CN Servings per case]]</f>
        <v>#DIV/0!</v>
      </c>
      <c r="T21" s="118" t="e">
        <f>Table15[[#This Row],[Total Cost Per Serving (N+O)/I]]*Table15[[#This Row],[Estimated Servings Annual]]</f>
        <v>#DIV/0!</v>
      </c>
      <c r="U21" s="105">
        <f>(Table15[[#This Row],[Commercial Bid Price per case for NOI ($)]]-Table15[[#This Row],[Pass-Thru Value per case ($)]])+Table15[[#This Row],[Region 2: Fixed Fee Per Case ($)]]</f>
        <v>0</v>
      </c>
      <c r="V21" s="19" t="e">
        <f>(Table15[[#This Row],[Commercial Bid Price per case for NOI ($)]]+Table15[[#This Row],[Region 2: Fixed Fee Per Case ($)]])/Table15[[#This Row],['# of CN Servings per case]]</f>
        <v>#DIV/0!</v>
      </c>
      <c r="W21" s="20" t="e">
        <f>Table15[[#This Row],[Total Cost Per Serving (N+P)/I]]*Table15[[#This Row],[Estimated Servings Annual]]</f>
        <v>#DIV/0!</v>
      </c>
    </row>
    <row r="22" spans="1:23" x14ac:dyDescent="0.25">
      <c r="A22" s="38" t="s">
        <v>38</v>
      </c>
      <c r="B22" s="5" t="s">
        <v>41</v>
      </c>
      <c r="C22" s="6" t="s">
        <v>109</v>
      </c>
      <c r="D22" s="7"/>
      <c r="E22" s="7"/>
      <c r="F22" s="7"/>
      <c r="G22" s="7"/>
      <c r="H22" s="7"/>
      <c r="I22" s="7"/>
      <c r="J22" s="93">
        <v>300000</v>
      </c>
      <c r="K22" s="7"/>
      <c r="L22" s="7"/>
      <c r="M22" s="7"/>
      <c r="N22" s="7"/>
      <c r="O22" s="7"/>
      <c r="P22" s="7"/>
      <c r="Q22" s="110"/>
      <c r="R22" s="105">
        <f>(Table15[[#This Row],[Commercial Bid Price per case for NOI ($)]]-Table15[[#This Row],[Pass-Thru Value per case ($)]])+Table15[[#This Row],[Region 1: Fixed Fee Per Case ($)]]</f>
        <v>0</v>
      </c>
      <c r="S22" s="18" t="e">
        <f>(Table15[[#This Row],[Commercial Bid Price per case for NOI ($)]]+Table15[[#This Row],[Region 1: Fixed Fee Per Case ($)]])/Table15[[#This Row],['# of CN Servings per case]]</f>
        <v>#DIV/0!</v>
      </c>
      <c r="T22" s="118" t="e">
        <f>Table15[[#This Row],[Total Cost Per Serving (N+O)/I]]*Table15[[#This Row],[Estimated Servings Annual]]</f>
        <v>#DIV/0!</v>
      </c>
      <c r="U22" s="105">
        <f>(Table15[[#This Row],[Commercial Bid Price per case for NOI ($)]]-Table15[[#This Row],[Pass-Thru Value per case ($)]])+Table15[[#This Row],[Region 2: Fixed Fee Per Case ($)]]</f>
        <v>0</v>
      </c>
      <c r="V22" s="19" t="e">
        <f>(Table15[[#This Row],[Commercial Bid Price per case for NOI ($)]]+Table15[[#This Row],[Region 2: Fixed Fee Per Case ($)]])/Table15[[#This Row],['# of CN Servings per case]]</f>
        <v>#DIV/0!</v>
      </c>
      <c r="W22" s="20" t="e">
        <f>Table15[[#This Row],[Total Cost Per Serving (N+P)/I]]*Table15[[#This Row],[Estimated Servings Annual]]</f>
        <v>#DIV/0!</v>
      </c>
    </row>
    <row r="23" spans="1:23" x14ac:dyDescent="0.25">
      <c r="A23" s="38" t="s">
        <v>38</v>
      </c>
      <c r="B23" s="5" t="s">
        <v>41</v>
      </c>
      <c r="C23" s="7" t="s">
        <v>13</v>
      </c>
      <c r="D23" s="7"/>
      <c r="E23" s="7"/>
      <c r="F23" s="7"/>
      <c r="G23" s="7"/>
      <c r="H23" s="7"/>
      <c r="I23" s="7"/>
      <c r="J23" s="93">
        <v>300000</v>
      </c>
      <c r="K23" s="7"/>
      <c r="L23" s="7"/>
      <c r="M23" s="7"/>
      <c r="N23" s="7"/>
      <c r="O23" s="7"/>
      <c r="P23" s="7"/>
      <c r="Q23" s="110"/>
      <c r="R23" s="105">
        <f>(Table15[[#This Row],[Commercial Bid Price per case for NOI ($)]]-Table15[[#This Row],[Pass-Thru Value per case ($)]])+Table15[[#This Row],[Region 1: Fixed Fee Per Case ($)]]</f>
        <v>0</v>
      </c>
      <c r="S23" s="18" t="e">
        <f>(Table15[[#This Row],[Commercial Bid Price per case for NOI ($)]]+Table15[[#This Row],[Region 1: Fixed Fee Per Case ($)]])/Table15[[#This Row],['# of CN Servings per case]]</f>
        <v>#DIV/0!</v>
      </c>
      <c r="T23" s="118" t="e">
        <f>Table15[[#This Row],[Total Cost Per Serving (N+O)/I]]*Table15[[#This Row],[Estimated Servings Annual]]</f>
        <v>#DIV/0!</v>
      </c>
      <c r="U23" s="105">
        <f>(Table15[[#This Row],[Commercial Bid Price per case for NOI ($)]]-Table15[[#This Row],[Pass-Thru Value per case ($)]])+Table15[[#This Row],[Region 2: Fixed Fee Per Case ($)]]</f>
        <v>0</v>
      </c>
      <c r="V23" s="19" t="e">
        <f>(Table15[[#This Row],[Commercial Bid Price per case for NOI ($)]]+Table15[[#This Row],[Region 2: Fixed Fee Per Case ($)]])/Table15[[#This Row],['# of CN Servings per case]]</f>
        <v>#DIV/0!</v>
      </c>
      <c r="W23" s="20" t="e">
        <f>Table15[[#This Row],[Total Cost Per Serving (N+P)/I]]*Table15[[#This Row],[Estimated Servings Annual]]</f>
        <v>#DIV/0!</v>
      </c>
    </row>
    <row r="24" spans="1:23" x14ac:dyDescent="0.25">
      <c r="A24" s="38" t="s">
        <v>38</v>
      </c>
      <c r="B24" s="5" t="s">
        <v>41</v>
      </c>
      <c r="C24" s="7" t="s">
        <v>13</v>
      </c>
      <c r="D24" s="7"/>
      <c r="E24" s="7"/>
      <c r="F24" s="7"/>
      <c r="G24" s="7"/>
      <c r="H24" s="7"/>
      <c r="I24" s="7"/>
      <c r="J24" s="93">
        <v>300000</v>
      </c>
      <c r="K24" s="7"/>
      <c r="L24" s="7"/>
      <c r="M24" s="7"/>
      <c r="N24" s="7"/>
      <c r="O24" s="7"/>
      <c r="P24" s="7"/>
      <c r="Q24" s="110"/>
      <c r="R24" s="105">
        <f>(Table15[[#This Row],[Commercial Bid Price per case for NOI ($)]]-Table15[[#This Row],[Pass-Thru Value per case ($)]])+Table15[[#This Row],[Region 1: Fixed Fee Per Case ($)]]</f>
        <v>0</v>
      </c>
      <c r="S24" s="18" t="e">
        <f>(Table15[[#This Row],[Commercial Bid Price per case for NOI ($)]]+Table15[[#This Row],[Region 1: Fixed Fee Per Case ($)]])/Table15[[#This Row],['# of CN Servings per case]]</f>
        <v>#DIV/0!</v>
      </c>
      <c r="T24" s="118" t="e">
        <f>Table15[[#This Row],[Total Cost Per Serving (N+O)/I]]*Table15[[#This Row],[Estimated Servings Annual]]</f>
        <v>#DIV/0!</v>
      </c>
      <c r="U24" s="105">
        <f>(Table15[[#This Row],[Commercial Bid Price per case for NOI ($)]]-Table15[[#This Row],[Pass-Thru Value per case ($)]])+Table15[[#This Row],[Region 2: Fixed Fee Per Case ($)]]</f>
        <v>0</v>
      </c>
      <c r="V24" s="19" t="e">
        <f>(Table15[[#This Row],[Commercial Bid Price per case for NOI ($)]]+Table15[[#This Row],[Region 2: Fixed Fee Per Case ($)]])/Table15[[#This Row],['# of CN Servings per case]]</f>
        <v>#DIV/0!</v>
      </c>
      <c r="W24" s="20" t="e">
        <f>Table15[[#This Row],[Total Cost Per Serving (N+P)/I]]*Table15[[#This Row],[Estimated Servings Annual]]</f>
        <v>#DIV/0!</v>
      </c>
    </row>
    <row r="25" spans="1:23" x14ac:dyDescent="0.25">
      <c r="A25" s="38" t="s">
        <v>38</v>
      </c>
      <c r="B25" s="5" t="s">
        <v>41</v>
      </c>
      <c r="C25" s="7" t="s">
        <v>13</v>
      </c>
      <c r="D25" s="7"/>
      <c r="E25" s="7"/>
      <c r="F25" s="7"/>
      <c r="G25" s="7"/>
      <c r="H25" s="7"/>
      <c r="I25" s="7"/>
      <c r="J25" s="93">
        <v>300000</v>
      </c>
      <c r="K25" s="7"/>
      <c r="L25" s="7"/>
      <c r="M25" s="7"/>
      <c r="N25" s="7"/>
      <c r="O25" s="7"/>
      <c r="P25" s="7"/>
      <c r="Q25" s="110"/>
      <c r="R25" s="105">
        <f>(Table15[[#This Row],[Commercial Bid Price per case for NOI ($)]]-Table15[[#This Row],[Pass-Thru Value per case ($)]])+Table15[[#This Row],[Region 1: Fixed Fee Per Case ($)]]</f>
        <v>0</v>
      </c>
      <c r="S25" s="18" t="e">
        <f>(Table15[[#This Row],[Commercial Bid Price per case for NOI ($)]]+Table15[[#This Row],[Region 1: Fixed Fee Per Case ($)]])/Table15[[#This Row],['# of CN Servings per case]]</f>
        <v>#DIV/0!</v>
      </c>
      <c r="T25" s="118" t="e">
        <f>Table15[[#This Row],[Total Cost Per Serving (N+O)/I]]*Table15[[#This Row],[Estimated Servings Annual]]</f>
        <v>#DIV/0!</v>
      </c>
      <c r="U25" s="105">
        <f>(Table15[[#This Row],[Commercial Bid Price per case for NOI ($)]]-Table15[[#This Row],[Pass-Thru Value per case ($)]])+Table15[[#This Row],[Region 2: Fixed Fee Per Case ($)]]</f>
        <v>0</v>
      </c>
      <c r="V25" s="19" t="e">
        <f>(Table15[[#This Row],[Commercial Bid Price per case for NOI ($)]]+Table15[[#This Row],[Region 2: Fixed Fee Per Case ($)]])/Table15[[#This Row],['# of CN Servings per case]]</f>
        <v>#DIV/0!</v>
      </c>
      <c r="W25" s="20" t="e">
        <f>Table15[[#This Row],[Total Cost Per Serving (N+P)/I]]*Table15[[#This Row],[Estimated Servings Annual]]</f>
        <v>#DIV/0!</v>
      </c>
    </row>
    <row r="26" spans="1:23" ht="15.75" thickBot="1" x14ac:dyDescent="0.3">
      <c r="A26" s="38" t="s">
        <v>38</v>
      </c>
      <c r="B26" s="8" t="s">
        <v>41</v>
      </c>
      <c r="C26" s="9" t="s">
        <v>13</v>
      </c>
      <c r="D26" s="9"/>
      <c r="E26" s="9"/>
      <c r="F26" s="9"/>
      <c r="G26" s="9"/>
      <c r="H26" s="9"/>
      <c r="I26" s="9"/>
      <c r="J26" s="94">
        <v>300000</v>
      </c>
      <c r="K26" s="9"/>
      <c r="L26" s="9"/>
      <c r="M26" s="9"/>
      <c r="N26" s="9"/>
      <c r="O26" s="9"/>
      <c r="P26" s="9"/>
      <c r="Q26" s="111"/>
      <c r="R26" s="106">
        <f>(Table15[[#This Row],[Commercial Bid Price per case for NOI ($)]]-Table15[[#This Row],[Pass-Thru Value per case ($)]])+Table15[[#This Row],[Region 1: Fixed Fee Per Case ($)]]</f>
        <v>0</v>
      </c>
      <c r="S26" s="21" t="e">
        <f>(Table15[[#This Row],[Commercial Bid Price per case for NOI ($)]]+Table15[[#This Row],[Region 1: Fixed Fee Per Case ($)]])/Table15[[#This Row],['# of CN Servings per case]]</f>
        <v>#DIV/0!</v>
      </c>
      <c r="T26" s="120" t="e">
        <f>Table15[[#This Row],[Total Cost Per Serving (N+O)/I]]*Table15[[#This Row],[Estimated Servings Annual]]</f>
        <v>#DIV/0!</v>
      </c>
      <c r="U26" s="106">
        <f>(Table15[[#This Row],[Commercial Bid Price per case for NOI ($)]]-Table15[[#This Row],[Pass-Thru Value per case ($)]])+Table15[[#This Row],[Region 2: Fixed Fee Per Case ($)]]</f>
        <v>0</v>
      </c>
      <c r="V26" s="22" t="e">
        <f>(Table15[[#This Row],[Commercial Bid Price per case for NOI ($)]]+Table15[[#This Row],[Region 2: Fixed Fee Per Case ($)]])/Table15[[#This Row],['# of CN Servings per case]]</f>
        <v>#DIV/0!</v>
      </c>
      <c r="W26" s="23" t="e">
        <f>Table15[[#This Row],[Total Cost Per Serving (N+P)/I]]*Table15[[#This Row],[Estimated Servings Annual]]</f>
        <v>#DIV/0!</v>
      </c>
    </row>
    <row r="27" spans="1:23" x14ac:dyDescent="0.25">
      <c r="A27" s="38" t="s">
        <v>38</v>
      </c>
      <c r="B27" s="2" t="s">
        <v>42</v>
      </c>
      <c r="C27" s="3" t="s">
        <v>147</v>
      </c>
      <c r="D27" s="4"/>
      <c r="E27" s="4"/>
      <c r="F27" s="4"/>
      <c r="G27" s="4"/>
      <c r="H27" s="4"/>
      <c r="I27" s="4"/>
      <c r="J27" s="92">
        <v>600000</v>
      </c>
      <c r="K27" s="4"/>
      <c r="L27" s="4"/>
      <c r="M27" s="4"/>
      <c r="N27" s="4"/>
      <c r="O27" s="4"/>
      <c r="P27" s="4"/>
      <c r="Q27" s="109"/>
      <c r="R27" s="104">
        <f>(Table15[[#This Row],[Commercial Bid Price per case for NOI ($)]]-Table15[[#This Row],[Pass-Thru Value per case ($)]])+Table15[[#This Row],[Region 1: Fixed Fee Per Case ($)]]</f>
        <v>0</v>
      </c>
      <c r="S27" s="15" t="e">
        <f>(Table15[[#This Row],[Commercial Bid Price per case for NOI ($)]]+Table15[[#This Row],[Region 1: Fixed Fee Per Case ($)]])/Table15[[#This Row],['# of CN Servings per case]]</f>
        <v>#DIV/0!</v>
      </c>
      <c r="T27" s="115" t="e">
        <f>Table15[[#This Row],[Total Cost Per Serving (N+O)/I]]*Table15[[#This Row],[Estimated Servings Annual]]</f>
        <v>#DIV/0!</v>
      </c>
      <c r="U27" s="104">
        <f>(Table15[[#This Row],[Commercial Bid Price per case for NOI ($)]]-Table15[[#This Row],[Pass-Thru Value per case ($)]])+Table15[[#This Row],[Region 2: Fixed Fee Per Case ($)]]</f>
        <v>0</v>
      </c>
      <c r="V27" s="16" t="e">
        <f>(Table15[[#This Row],[Commercial Bid Price per case for NOI ($)]]+Table15[[#This Row],[Region 2: Fixed Fee Per Case ($)]])/Table15[[#This Row],['# of CN Servings per case]]</f>
        <v>#DIV/0!</v>
      </c>
      <c r="W27" s="17" t="e">
        <f>Table15[[#This Row],[Total Cost Per Serving (N+P)/I]]*Table15[[#This Row],[Estimated Servings Annual]]</f>
        <v>#DIV/0!</v>
      </c>
    </row>
    <row r="28" spans="1:23" x14ac:dyDescent="0.25">
      <c r="A28" s="38" t="s">
        <v>38</v>
      </c>
      <c r="B28" s="5" t="s">
        <v>42</v>
      </c>
      <c r="C28" s="6" t="s">
        <v>147</v>
      </c>
      <c r="D28" s="7"/>
      <c r="E28" s="7"/>
      <c r="F28" s="7"/>
      <c r="G28" s="7"/>
      <c r="H28" s="7"/>
      <c r="I28" s="7"/>
      <c r="J28" s="93">
        <v>600000</v>
      </c>
      <c r="K28" s="7"/>
      <c r="L28" s="7"/>
      <c r="M28" s="7"/>
      <c r="N28" s="7"/>
      <c r="O28" s="7"/>
      <c r="P28" s="7"/>
      <c r="Q28" s="110"/>
      <c r="R28" s="105">
        <f>(Table15[[#This Row],[Commercial Bid Price per case for NOI ($)]]-Table15[[#This Row],[Pass-Thru Value per case ($)]])+Table15[[#This Row],[Region 1: Fixed Fee Per Case ($)]]</f>
        <v>0</v>
      </c>
      <c r="S28" s="18" t="e">
        <f>(Table15[[#This Row],[Commercial Bid Price per case for NOI ($)]]+Table15[[#This Row],[Region 1: Fixed Fee Per Case ($)]])/Table15[[#This Row],['# of CN Servings per case]]</f>
        <v>#DIV/0!</v>
      </c>
      <c r="T28" s="118" t="e">
        <f>Table15[[#This Row],[Total Cost Per Serving (N+O)/I]]*Table15[[#This Row],[Estimated Servings Annual]]</f>
        <v>#DIV/0!</v>
      </c>
      <c r="U28" s="105">
        <f>(Table15[[#This Row],[Commercial Bid Price per case for NOI ($)]]-Table15[[#This Row],[Pass-Thru Value per case ($)]])+Table15[[#This Row],[Region 2: Fixed Fee Per Case ($)]]</f>
        <v>0</v>
      </c>
      <c r="V28" s="19" t="e">
        <f>(Table15[[#This Row],[Commercial Bid Price per case for NOI ($)]]+Table15[[#This Row],[Region 2: Fixed Fee Per Case ($)]])/Table15[[#This Row],['# of CN Servings per case]]</f>
        <v>#DIV/0!</v>
      </c>
      <c r="W28" s="20" t="e">
        <f>Table15[[#This Row],[Total Cost Per Serving (N+P)/I]]*Table15[[#This Row],[Estimated Servings Annual]]</f>
        <v>#DIV/0!</v>
      </c>
    </row>
    <row r="29" spans="1:23" x14ac:dyDescent="0.25">
      <c r="A29" s="38" t="s">
        <v>38</v>
      </c>
      <c r="B29" s="5" t="s">
        <v>42</v>
      </c>
      <c r="C29" s="6" t="s">
        <v>109</v>
      </c>
      <c r="D29" s="7"/>
      <c r="E29" s="7"/>
      <c r="F29" s="7"/>
      <c r="G29" s="7"/>
      <c r="H29" s="7"/>
      <c r="I29" s="7"/>
      <c r="J29" s="93">
        <v>600000</v>
      </c>
      <c r="K29" s="7"/>
      <c r="L29" s="7"/>
      <c r="M29" s="7"/>
      <c r="N29" s="7"/>
      <c r="O29" s="7"/>
      <c r="P29" s="7"/>
      <c r="Q29" s="110"/>
      <c r="R29" s="105">
        <f>(Table15[[#This Row],[Commercial Bid Price per case for NOI ($)]]-Table15[[#This Row],[Pass-Thru Value per case ($)]])+Table15[[#This Row],[Region 1: Fixed Fee Per Case ($)]]</f>
        <v>0</v>
      </c>
      <c r="S29" s="18" t="e">
        <f>(Table15[[#This Row],[Commercial Bid Price per case for NOI ($)]]+Table15[[#This Row],[Region 1: Fixed Fee Per Case ($)]])/Table15[[#This Row],['# of CN Servings per case]]</f>
        <v>#DIV/0!</v>
      </c>
      <c r="T29" s="118" t="e">
        <f>Table15[[#This Row],[Total Cost Per Serving (N+O)/I]]*Table15[[#This Row],[Estimated Servings Annual]]</f>
        <v>#DIV/0!</v>
      </c>
      <c r="U29" s="105">
        <f>(Table15[[#This Row],[Commercial Bid Price per case for NOI ($)]]-Table15[[#This Row],[Pass-Thru Value per case ($)]])+Table15[[#This Row],[Region 2: Fixed Fee Per Case ($)]]</f>
        <v>0</v>
      </c>
      <c r="V29" s="19" t="e">
        <f>(Table15[[#This Row],[Commercial Bid Price per case for NOI ($)]]+Table15[[#This Row],[Region 2: Fixed Fee Per Case ($)]])/Table15[[#This Row],['# of CN Servings per case]]</f>
        <v>#DIV/0!</v>
      </c>
      <c r="W29" s="20" t="e">
        <f>Table15[[#This Row],[Total Cost Per Serving (N+P)/I]]*Table15[[#This Row],[Estimated Servings Annual]]</f>
        <v>#DIV/0!</v>
      </c>
    </row>
    <row r="30" spans="1:23" x14ac:dyDescent="0.25">
      <c r="A30" s="38" t="s">
        <v>38</v>
      </c>
      <c r="B30" s="5" t="s">
        <v>42</v>
      </c>
      <c r="C30" s="6" t="s">
        <v>109</v>
      </c>
      <c r="D30" s="7"/>
      <c r="E30" s="7"/>
      <c r="F30" s="7"/>
      <c r="G30" s="7"/>
      <c r="H30" s="7"/>
      <c r="I30" s="7"/>
      <c r="J30" s="93">
        <v>600000</v>
      </c>
      <c r="K30" s="7"/>
      <c r="L30" s="7"/>
      <c r="M30" s="7"/>
      <c r="N30" s="7"/>
      <c r="O30" s="7"/>
      <c r="P30" s="7"/>
      <c r="Q30" s="110"/>
      <c r="R30" s="105">
        <f>(Table15[[#This Row],[Commercial Bid Price per case for NOI ($)]]-Table15[[#This Row],[Pass-Thru Value per case ($)]])+Table15[[#This Row],[Region 1: Fixed Fee Per Case ($)]]</f>
        <v>0</v>
      </c>
      <c r="S30" s="18" t="e">
        <f>(Table15[[#This Row],[Commercial Bid Price per case for NOI ($)]]+Table15[[#This Row],[Region 1: Fixed Fee Per Case ($)]])/Table15[[#This Row],['# of CN Servings per case]]</f>
        <v>#DIV/0!</v>
      </c>
      <c r="T30" s="118" t="e">
        <f>Table15[[#This Row],[Total Cost Per Serving (N+O)/I]]*Table15[[#This Row],[Estimated Servings Annual]]</f>
        <v>#DIV/0!</v>
      </c>
      <c r="U30" s="105">
        <f>(Table15[[#This Row],[Commercial Bid Price per case for NOI ($)]]-Table15[[#This Row],[Pass-Thru Value per case ($)]])+Table15[[#This Row],[Region 2: Fixed Fee Per Case ($)]]</f>
        <v>0</v>
      </c>
      <c r="V30" s="19" t="e">
        <f>(Table15[[#This Row],[Commercial Bid Price per case for NOI ($)]]+Table15[[#This Row],[Region 2: Fixed Fee Per Case ($)]])/Table15[[#This Row],['# of CN Servings per case]]</f>
        <v>#DIV/0!</v>
      </c>
      <c r="W30" s="20" t="e">
        <f>Table15[[#This Row],[Total Cost Per Serving (N+P)/I]]*Table15[[#This Row],[Estimated Servings Annual]]</f>
        <v>#DIV/0!</v>
      </c>
    </row>
    <row r="31" spans="1:23" x14ac:dyDescent="0.25">
      <c r="A31" s="38" t="s">
        <v>38</v>
      </c>
      <c r="B31" s="5" t="s">
        <v>42</v>
      </c>
      <c r="C31" s="7" t="s">
        <v>13</v>
      </c>
      <c r="D31" s="7"/>
      <c r="E31" s="7"/>
      <c r="F31" s="7"/>
      <c r="G31" s="7"/>
      <c r="H31" s="7"/>
      <c r="I31" s="7"/>
      <c r="J31" s="93">
        <v>600000</v>
      </c>
      <c r="K31" s="7"/>
      <c r="L31" s="7"/>
      <c r="M31" s="7"/>
      <c r="N31" s="7"/>
      <c r="O31" s="7"/>
      <c r="P31" s="7"/>
      <c r="Q31" s="110"/>
      <c r="R31" s="105">
        <f>(Table15[[#This Row],[Commercial Bid Price per case for NOI ($)]]-Table15[[#This Row],[Pass-Thru Value per case ($)]])+Table15[[#This Row],[Region 1: Fixed Fee Per Case ($)]]</f>
        <v>0</v>
      </c>
      <c r="S31" s="18" t="e">
        <f>(Table15[[#This Row],[Commercial Bid Price per case for NOI ($)]]+Table15[[#This Row],[Region 1: Fixed Fee Per Case ($)]])/Table15[[#This Row],['# of CN Servings per case]]</f>
        <v>#DIV/0!</v>
      </c>
      <c r="T31" s="118" t="e">
        <f>Table15[[#This Row],[Total Cost Per Serving (N+O)/I]]*Table15[[#This Row],[Estimated Servings Annual]]</f>
        <v>#DIV/0!</v>
      </c>
      <c r="U31" s="105">
        <f>(Table15[[#This Row],[Commercial Bid Price per case for NOI ($)]]-Table15[[#This Row],[Pass-Thru Value per case ($)]])+Table15[[#This Row],[Region 2: Fixed Fee Per Case ($)]]</f>
        <v>0</v>
      </c>
      <c r="V31" s="19" t="e">
        <f>(Table15[[#This Row],[Commercial Bid Price per case for NOI ($)]]+Table15[[#This Row],[Region 2: Fixed Fee Per Case ($)]])/Table15[[#This Row],['# of CN Servings per case]]</f>
        <v>#DIV/0!</v>
      </c>
      <c r="W31" s="20" t="e">
        <f>Table15[[#This Row],[Total Cost Per Serving (N+P)/I]]*Table15[[#This Row],[Estimated Servings Annual]]</f>
        <v>#DIV/0!</v>
      </c>
    </row>
    <row r="32" spans="1:23" x14ac:dyDescent="0.25">
      <c r="A32" s="38" t="s">
        <v>38</v>
      </c>
      <c r="B32" s="5" t="s">
        <v>42</v>
      </c>
      <c r="C32" s="7" t="s">
        <v>13</v>
      </c>
      <c r="D32" s="7"/>
      <c r="E32" s="7"/>
      <c r="F32" s="7"/>
      <c r="G32" s="7"/>
      <c r="H32" s="7"/>
      <c r="I32" s="7"/>
      <c r="J32" s="93">
        <v>600000</v>
      </c>
      <c r="K32" s="7"/>
      <c r="L32" s="7"/>
      <c r="M32" s="7"/>
      <c r="N32" s="7"/>
      <c r="O32" s="7"/>
      <c r="P32" s="7"/>
      <c r="Q32" s="110"/>
      <c r="R32" s="105">
        <f>(Table15[[#This Row],[Commercial Bid Price per case for NOI ($)]]-Table15[[#This Row],[Pass-Thru Value per case ($)]])+Table15[[#This Row],[Region 1: Fixed Fee Per Case ($)]]</f>
        <v>0</v>
      </c>
      <c r="S32" s="18" t="e">
        <f>(Table15[[#This Row],[Commercial Bid Price per case for NOI ($)]]+Table15[[#This Row],[Region 1: Fixed Fee Per Case ($)]])/Table15[[#This Row],['# of CN Servings per case]]</f>
        <v>#DIV/0!</v>
      </c>
      <c r="T32" s="118" t="e">
        <f>Table15[[#This Row],[Total Cost Per Serving (N+O)/I]]*Table15[[#This Row],[Estimated Servings Annual]]</f>
        <v>#DIV/0!</v>
      </c>
      <c r="U32" s="105">
        <f>(Table15[[#This Row],[Commercial Bid Price per case for NOI ($)]]-Table15[[#This Row],[Pass-Thru Value per case ($)]])+Table15[[#This Row],[Region 2: Fixed Fee Per Case ($)]]</f>
        <v>0</v>
      </c>
      <c r="V32" s="19" t="e">
        <f>(Table15[[#This Row],[Commercial Bid Price per case for NOI ($)]]+Table15[[#This Row],[Region 2: Fixed Fee Per Case ($)]])/Table15[[#This Row],['# of CN Servings per case]]</f>
        <v>#DIV/0!</v>
      </c>
      <c r="W32" s="20" t="e">
        <f>Table15[[#This Row],[Total Cost Per Serving (N+P)/I]]*Table15[[#This Row],[Estimated Servings Annual]]</f>
        <v>#DIV/0!</v>
      </c>
    </row>
    <row r="33" spans="1:23" x14ac:dyDescent="0.25">
      <c r="A33" s="38" t="s">
        <v>38</v>
      </c>
      <c r="B33" s="5" t="s">
        <v>42</v>
      </c>
      <c r="C33" s="7" t="s">
        <v>13</v>
      </c>
      <c r="D33" s="7"/>
      <c r="E33" s="7"/>
      <c r="F33" s="7"/>
      <c r="G33" s="7"/>
      <c r="H33" s="7"/>
      <c r="I33" s="7"/>
      <c r="J33" s="93">
        <v>600000</v>
      </c>
      <c r="K33" s="7"/>
      <c r="L33" s="7"/>
      <c r="M33" s="7"/>
      <c r="N33" s="7"/>
      <c r="O33" s="7"/>
      <c r="P33" s="7"/>
      <c r="Q33" s="110"/>
      <c r="R33" s="105">
        <f>(Table15[[#This Row],[Commercial Bid Price per case for NOI ($)]]-Table15[[#This Row],[Pass-Thru Value per case ($)]])+Table15[[#This Row],[Region 1: Fixed Fee Per Case ($)]]</f>
        <v>0</v>
      </c>
      <c r="S33" s="18" t="e">
        <f>(Table15[[#This Row],[Commercial Bid Price per case for NOI ($)]]+Table15[[#This Row],[Region 1: Fixed Fee Per Case ($)]])/Table15[[#This Row],['# of CN Servings per case]]</f>
        <v>#DIV/0!</v>
      </c>
      <c r="T33" s="118" t="e">
        <f>Table15[[#This Row],[Total Cost Per Serving (N+O)/I]]*Table15[[#This Row],[Estimated Servings Annual]]</f>
        <v>#DIV/0!</v>
      </c>
      <c r="U33" s="105">
        <f>(Table15[[#This Row],[Commercial Bid Price per case for NOI ($)]]-Table15[[#This Row],[Pass-Thru Value per case ($)]])+Table15[[#This Row],[Region 2: Fixed Fee Per Case ($)]]</f>
        <v>0</v>
      </c>
      <c r="V33" s="19" t="e">
        <f>(Table15[[#This Row],[Commercial Bid Price per case for NOI ($)]]+Table15[[#This Row],[Region 2: Fixed Fee Per Case ($)]])/Table15[[#This Row],['# of CN Servings per case]]</f>
        <v>#DIV/0!</v>
      </c>
      <c r="W33" s="20" t="e">
        <f>Table15[[#This Row],[Total Cost Per Serving (N+P)/I]]*Table15[[#This Row],[Estimated Servings Annual]]</f>
        <v>#DIV/0!</v>
      </c>
    </row>
    <row r="34" spans="1:23" ht="15.75" thickBot="1" x14ac:dyDescent="0.3">
      <c r="A34" s="38" t="s">
        <v>38</v>
      </c>
      <c r="B34" s="8" t="s">
        <v>42</v>
      </c>
      <c r="C34" s="9" t="s">
        <v>13</v>
      </c>
      <c r="D34" s="9"/>
      <c r="E34" s="9"/>
      <c r="F34" s="9"/>
      <c r="G34" s="9"/>
      <c r="H34" s="9"/>
      <c r="I34" s="9"/>
      <c r="J34" s="94">
        <v>600000</v>
      </c>
      <c r="K34" s="9"/>
      <c r="L34" s="9"/>
      <c r="M34" s="9"/>
      <c r="N34" s="9"/>
      <c r="O34" s="9"/>
      <c r="P34" s="9"/>
      <c r="Q34" s="111"/>
      <c r="R34" s="106">
        <f>(Table15[[#This Row],[Commercial Bid Price per case for NOI ($)]]-Table15[[#This Row],[Pass-Thru Value per case ($)]])+Table15[[#This Row],[Region 1: Fixed Fee Per Case ($)]]</f>
        <v>0</v>
      </c>
      <c r="S34" s="21" t="e">
        <f>(Table15[[#This Row],[Commercial Bid Price per case for NOI ($)]]+Table15[[#This Row],[Region 1: Fixed Fee Per Case ($)]])/Table15[[#This Row],['# of CN Servings per case]]</f>
        <v>#DIV/0!</v>
      </c>
      <c r="T34" s="120" t="e">
        <f>Table15[[#This Row],[Total Cost Per Serving (N+O)/I]]*Table15[[#This Row],[Estimated Servings Annual]]</f>
        <v>#DIV/0!</v>
      </c>
      <c r="U34" s="106">
        <f>(Table15[[#This Row],[Commercial Bid Price per case for NOI ($)]]-Table15[[#This Row],[Pass-Thru Value per case ($)]])+Table15[[#This Row],[Region 2: Fixed Fee Per Case ($)]]</f>
        <v>0</v>
      </c>
      <c r="V34" s="22" t="e">
        <f>(Table15[[#This Row],[Commercial Bid Price per case for NOI ($)]]+Table15[[#This Row],[Region 2: Fixed Fee Per Case ($)]])/Table15[[#This Row],['# of CN Servings per case]]</f>
        <v>#DIV/0!</v>
      </c>
      <c r="W34" s="23" t="e">
        <f>Table15[[#This Row],[Total Cost Per Serving (N+P)/I]]*Table15[[#This Row],[Estimated Servings Annual]]</f>
        <v>#DIV/0!</v>
      </c>
    </row>
    <row r="35" spans="1:23" x14ac:dyDescent="0.25">
      <c r="A35" s="39" t="s">
        <v>38</v>
      </c>
      <c r="B35" s="2" t="s">
        <v>43</v>
      </c>
      <c r="C35" s="3" t="s">
        <v>147</v>
      </c>
      <c r="D35" s="4"/>
      <c r="E35" s="4"/>
      <c r="F35" s="4"/>
      <c r="G35" s="4"/>
      <c r="H35" s="4"/>
      <c r="I35" s="4"/>
      <c r="J35" s="92">
        <v>1200000</v>
      </c>
      <c r="K35" s="4"/>
      <c r="L35" s="4"/>
      <c r="M35" s="4"/>
      <c r="N35" s="4"/>
      <c r="O35" s="4"/>
      <c r="P35" s="4"/>
      <c r="Q35" s="109"/>
      <c r="R35" s="104">
        <f>(Table15[[#This Row],[Commercial Bid Price per case for NOI ($)]]-Table15[[#This Row],[Pass-Thru Value per case ($)]])+Table15[[#This Row],[Region 1: Fixed Fee Per Case ($)]]</f>
        <v>0</v>
      </c>
      <c r="S35" s="15" t="e">
        <f>(Table15[[#This Row],[Commercial Bid Price per case for NOI ($)]]+Table15[[#This Row],[Region 1: Fixed Fee Per Case ($)]])/Table15[[#This Row],['# of CN Servings per case]]</f>
        <v>#DIV/0!</v>
      </c>
      <c r="T35" s="115" t="e">
        <f>Table15[[#This Row],[Total Cost Per Serving (N+O)/I]]*Table15[[#This Row],[Estimated Servings Annual]]</f>
        <v>#DIV/0!</v>
      </c>
      <c r="U35" s="104">
        <f>(Table15[[#This Row],[Commercial Bid Price per case for NOI ($)]]-Table15[[#This Row],[Pass-Thru Value per case ($)]])+Table15[[#This Row],[Region 2: Fixed Fee Per Case ($)]]</f>
        <v>0</v>
      </c>
      <c r="V35" s="31" t="e">
        <f>(Table15[[#This Row],[Commercial Bid Price per case for NOI ($)]]+Table15[[#This Row],[Region 2: Fixed Fee Per Case ($)]])/Table15[[#This Row],['# of CN Servings per case]]</f>
        <v>#DIV/0!</v>
      </c>
      <c r="W35" s="17" t="e">
        <f>Table15[[#This Row],[Total Cost Per Serving (N+P)/I]]*Table15[[#This Row],[Estimated Servings Annual]]</f>
        <v>#DIV/0!</v>
      </c>
    </row>
    <row r="36" spans="1:23" x14ac:dyDescent="0.25">
      <c r="A36" s="39" t="s">
        <v>38</v>
      </c>
      <c r="B36" s="5" t="s">
        <v>43</v>
      </c>
      <c r="C36" s="6" t="s">
        <v>147</v>
      </c>
      <c r="D36" s="7"/>
      <c r="E36" s="7"/>
      <c r="F36" s="7"/>
      <c r="G36" s="7"/>
      <c r="H36" s="7"/>
      <c r="I36" s="7"/>
      <c r="J36" s="93">
        <v>1200000</v>
      </c>
      <c r="K36" s="7"/>
      <c r="L36" s="7"/>
      <c r="M36" s="7"/>
      <c r="N36" s="7"/>
      <c r="O36" s="7"/>
      <c r="P36" s="7"/>
      <c r="Q36" s="110"/>
      <c r="R36" s="105">
        <f>(Table15[[#This Row],[Commercial Bid Price per case for NOI ($)]]-Table15[[#This Row],[Pass-Thru Value per case ($)]])+Table15[[#This Row],[Region 1: Fixed Fee Per Case ($)]]</f>
        <v>0</v>
      </c>
      <c r="S36" s="18" t="e">
        <f>(Table15[[#This Row],[Commercial Bid Price per case for NOI ($)]]+Table15[[#This Row],[Region 1: Fixed Fee Per Case ($)]])/Table15[[#This Row],['# of CN Servings per case]]</f>
        <v>#DIV/0!</v>
      </c>
      <c r="T36" s="118" t="e">
        <f>Table15[[#This Row],[Total Cost Per Serving (N+O)/I]]*Table15[[#This Row],[Estimated Servings Annual]]</f>
        <v>#DIV/0!</v>
      </c>
      <c r="U36" s="105">
        <f>(Table15[[#This Row],[Commercial Bid Price per case for NOI ($)]]-Table15[[#This Row],[Pass-Thru Value per case ($)]])+Table15[[#This Row],[Region 2: Fixed Fee Per Case ($)]]</f>
        <v>0</v>
      </c>
      <c r="V36" s="24" t="e">
        <f>(Table15[[#This Row],[Commercial Bid Price per case for NOI ($)]]+Table15[[#This Row],[Region 2: Fixed Fee Per Case ($)]])/Table15[[#This Row],['# of CN Servings per case]]</f>
        <v>#DIV/0!</v>
      </c>
      <c r="W36" s="20" t="e">
        <f>Table15[[#This Row],[Total Cost Per Serving (N+P)/I]]*Table15[[#This Row],[Estimated Servings Annual]]</f>
        <v>#DIV/0!</v>
      </c>
    </row>
    <row r="37" spans="1:23" x14ac:dyDescent="0.25">
      <c r="A37" s="39" t="s">
        <v>38</v>
      </c>
      <c r="B37" s="5" t="s">
        <v>43</v>
      </c>
      <c r="C37" s="6" t="s">
        <v>109</v>
      </c>
      <c r="D37" s="7"/>
      <c r="E37" s="7"/>
      <c r="F37" s="7"/>
      <c r="G37" s="7"/>
      <c r="H37" s="7"/>
      <c r="I37" s="7"/>
      <c r="J37" s="93">
        <v>1200000</v>
      </c>
      <c r="K37" s="7"/>
      <c r="L37" s="7"/>
      <c r="M37" s="7"/>
      <c r="N37" s="7"/>
      <c r="O37" s="7"/>
      <c r="P37" s="7"/>
      <c r="Q37" s="110"/>
      <c r="R37" s="105">
        <f>(Table15[[#This Row],[Commercial Bid Price per case for NOI ($)]]-Table15[[#This Row],[Pass-Thru Value per case ($)]])+Table15[[#This Row],[Region 1: Fixed Fee Per Case ($)]]</f>
        <v>0</v>
      </c>
      <c r="S37" s="18" t="e">
        <f>(Table15[[#This Row],[Commercial Bid Price per case for NOI ($)]]+Table15[[#This Row],[Region 1: Fixed Fee Per Case ($)]])/Table15[[#This Row],['# of CN Servings per case]]</f>
        <v>#DIV/0!</v>
      </c>
      <c r="T37" s="118" t="e">
        <f>Table15[[#This Row],[Total Cost Per Serving (N+O)/I]]*Table15[[#This Row],[Estimated Servings Annual]]</f>
        <v>#DIV/0!</v>
      </c>
      <c r="U37" s="105">
        <f>(Table15[[#This Row],[Commercial Bid Price per case for NOI ($)]]-Table15[[#This Row],[Pass-Thru Value per case ($)]])+Table15[[#This Row],[Region 2: Fixed Fee Per Case ($)]]</f>
        <v>0</v>
      </c>
      <c r="V37" s="24" t="e">
        <f>(Table15[[#This Row],[Commercial Bid Price per case for NOI ($)]]+Table15[[#This Row],[Region 2: Fixed Fee Per Case ($)]])/Table15[[#This Row],['# of CN Servings per case]]</f>
        <v>#DIV/0!</v>
      </c>
      <c r="W37" s="20" t="e">
        <f>Table15[[#This Row],[Total Cost Per Serving (N+P)/I]]*Table15[[#This Row],[Estimated Servings Annual]]</f>
        <v>#DIV/0!</v>
      </c>
    </row>
    <row r="38" spans="1:23" x14ac:dyDescent="0.25">
      <c r="A38" s="39" t="s">
        <v>38</v>
      </c>
      <c r="B38" s="5" t="s">
        <v>43</v>
      </c>
      <c r="C38" s="6" t="s">
        <v>109</v>
      </c>
      <c r="D38" s="7"/>
      <c r="E38" s="7"/>
      <c r="F38" s="7"/>
      <c r="G38" s="7"/>
      <c r="H38" s="7"/>
      <c r="I38" s="7"/>
      <c r="J38" s="93">
        <v>1200000</v>
      </c>
      <c r="K38" s="7"/>
      <c r="L38" s="7"/>
      <c r="M38" s="7"/>
      <c r="N38" s="7"/>
      <c r="O38" s="7"/>
      <c r="P38" s="7"/>
      <c r="Q38" s="110"/>
      <c r="R38" s="105">
        <f>(Table15[[#This Row],[Commercial Bid Price per case for NOI ($)]]-Table15[[#This Row],[Pass-Thru Value per case ($)]])+Table15[[#This Row],[Region 1: Fixed Fee Per Case ($)]]</f>
        <v>0</v>
      </c>
      <c r="S38" s="18" t="e">
        <f>(Table15[[#This Row],[Commercial Bid Price per case for NOI ($)]]+Table15[[#This Row],[Region 1: Fixed Fee Per Case ($)]])/Table15[[#This Row],['# of CN Servings per case]]</f>
        <v>#DIV/0!</v>
      </c>
      <c r="T38" s="118" t="e">
        <f>Table15[[#This Row],[Total Cost Per Serving (N+O)/I]]*Table15[[#This Row],[Estimated Servings Annual]]</f>
        <v>#DIV/0!</v>
      </c>
      <c r="U38" s="105">
        <f>(Table15[[#This Row],[Commercial Bid Price per case for NOI ($)]]-Table15[[#This Row],[Pass-Thru Value per case ($)]])+Table15[[#This Row],[Region 2: Fixed Fee Per Case ($)]]</f>
        <v>0</v>
      </c>
      <c r="V38" s="24" t="e">
        <f>(Table15[[#This Row],[Commercial Bid Price per case for NOI ($)]]+Table15[[#This Row],[Region 2: Fixed Fee Per Case ($)]])/Table15[[#This Row],['# of CN Servings per case]]</f>
        <v>#DIV/0!</v>
      </c>
      <c r="W38" s="20" t="e">
        <f>Table15[[#This Row],[Total Cost Per Serving (N+P)/I]]*Table15[[#This Row],[Estimated Servings Annual]]</f>
        <v>#DIV/0!</v>
      </c>
    </row>
    <row r="39" spans="1:23" x14ac:dyDescent="0.25">
      <c r="A39" s="39" t="s">
        <v>38</v>
      </c>
      <c r="B39" s="5" t="s">
        <v>43</v>
      </c>
      <c r="C39" s="7" t="s">
        <v>13</v>
      </c>
      <c r="D39" s="7"/>
      <c r="E39" s="7"/>
      <c r="F39" s="7"/>
      <c r="G39" s="7"/>
      <c r="H39" s="7"/>
      <c r="I39" s="7"/>
      <c r="J39" s="93">
        <v>1200000</v>
      </c>
      <c r="K39" s="7"/>
      <c r="L39" s="7"/>
      <c r="M39" s="7"/>
      <c r="N39" s="7"/>
      <c r="O39" s="7"/>
      <c r="P39" s="7"/>
      <c r="Q39" s="110"/>
      <c r="R39" s="105">
        <f>(Table15[[#This Row],[Commercial Bid Price per case for NOI ($)]]-Table15[[#This Row],[Pass-Thru Value per case ($)]])+Table15[[#This Row],[Region 1: Fixed Fee Per Case ($)]]</f>
        <v>0</v>
      </c>
      <c r="S39" s="18" t="e">
        <f>(Table15[[#This Row],[Commercial Bid Price per case for NOI ($)]]+Table15[[#This Row],[Region 1: Fixed Fee Per Case ($)]])/Table15[[#This Row],['# of CN Servings per case]]</f>
        <v>#DIV/0!</v>
      </c>
      <c r="T39" s="118" t="e">
        <f>Table15[[#This Row],[Total Cost Per Serving (N+O)/I]]*Table15[[#This Row],[Estimated Servings Annual]]</f>
        <v>#DIV/0!</v>
      </c>
      <c r="U39" s="105">
        <f>(Table15[[#This Row],[Commercial Bid Price per case for NOI ($)]]-Table15[[#This Row],[Pass-Thru Value per case ($)]])+Table15[[#This Row],[Region 2: Fixed Fee Per Case ($)]]</f>
        <v>0</v>
      </c>
      <c r="V39" s="24" t="e">
        <f>(Table15[[#This Row],[Commercial Bid Price per case for NOI ($)]]+Table15[[#This Row],[Region 2: Fixed Fee Per Case ($)]])/Table15[[#This Row],['# of CN Servings per case]]</f>
        <v>#DIV/0!</v>
      </c>
      <c r="W39" s="20" t="e">
        <f>Table15[[#This Row],[Total Cost Per Serving (N+P)/I]]*Table15[[#This Row],[Estimated Servings Annual]]</f>
        <v>#DIV/0!</v>
      </c>
    </row>
    <row r="40" spans="1:23" x14ac:dyDescent="0.25">
      <c r="A40" s="39" t="s">
        <v>38</v>
      </c>
      <c r="B40" s="5" t="s">
        <v>43</v>
      </c>
      <c r="C40" s="7" t="s">
        <v>13</v>
      </c>
      <c r="D40" s="7"/>
      <c r="E40" s="7"/>
      <c r="F40" s="7"/>
      <c r="G40" s="7"/>
      <c r="H40" s="7"/>
      <c r="I40" s="7"/>
      <c r="J40" s="93">
        <v>1200000</v>
      </c>
      <c r="K40" s="7"/>
      <c r="L40" s="7"/>
      <c r="M40" s="7"/>
      <c r="N40" s="7"/>
      <c r="O40" s="7"/>
      <c r="P40" s="7"/>
      <c r="Q40" s="110"/>
      <c r="R40" s="105">
        <f>(Table15[[#This Row],[Commercial Bid Price per case for NOI ($)]]-Table15[[#This Row],[Pass-Thru Value per case ($)]])+Table15[[#This Row],[Region 1: Fixed Fee Per Case ($)]]</f>
        <v>0</v>
      </c>
      <c r="S40" s="18" t="e">
        <f>(Table15[[#This Row],[Commercial Bid Price per case for NOI ($)]]+Table15[[#This Row],[Region 1: Fixed Fee Per Case ($)]])/Table15[[#This Row],['# of CN Servings per case]]</f>
        <v>#DIV/0!</v>
      </c>
      <c r="T40" s="118" t="e">
        <f>Table15[[#This Row],[Total Cost Per Serving (N+O)/I]]*Table15[[#This Row],[Estimated Servings Annual]]</f>
        <v>#DIV/0!</v>
      </c>
      <c r="U40" s="105">
        <f>(Table15[[#This Row],[Commercial Bid Price per case for NOI ($)]]-Table15[[#This Row],[Pass-Thru Value per case ($)]])+Table15[[#This Row],[Region 2: Fixed Fee Per Case ($)]]</f>
        <v>0</v>
      </c>
      <c r="V40" s="24" t="e">
        <f>(Table15[[#This Row],[Commercial Bid Price per case for NOI ($)]]+Table15[[#This Row],[Region 2: Fixed Fee Per Case ($)]])/Table15[[#This Row],['# of CN Servings per case]]</f>
        <v>#DIV/0!</v>
      </c>
      <c r="W40" s="20" t="e">
        <f>Table15[[#This Row],[Total Cost Per Serving (N+P)/I]]*Table15[[#This Row],[Estimated Servings Annual]]</f>
        <v>#DIV/0!</v>
      </c>
    </row>
    <row r="41" spans="1:23" x14ac:dyDescent="0.25">
      <c r="A41" s="39" t="s">
        <v>38</v>
      </c>
      <c r="B41" s="5" t="s">
        <v>43</v>
      </c>
      <c r="C41" s="7" t="s">
        <v>13</v>
      </c>
      <c r="D41" s="7"/>
      <c r="E41" s="7"/>
      <c r="F41" s="7"/>
      <c r="G41" s="7"/>
      <c r="H41" s="7"/>
      <c r="I41" s="7"/>
      <c r="J41" s="93">
        <v>1200000</v>
      </c>
      <c r="K41" s="7"/>
      <c r="L41" s="7"/>
      <c r="M41" s="7"/>
      <c r="N41" s="7"/>
      <c r="O41" s="7"/>
      <c r="P41" s="7"/>
      <c r="Q41" s="110"/>
      <c r="R41" s="105">
        <f>(Table15[[#This Row],[Commercial Bid Price per case for NOI ($)]]-Table15[[#This Row],[Pass-Thru Value per case ($)]])+Table15[[#This Row],[Region 1: Fixed Fee Per Case ($)]]</f>
        <v>0</v>
      </c>
      <c r="S41" s="18" t="e">
        <f>(Table15[[#This Row],[Commercial Bid Price per case for NOI ($)]]+Table15[[#This Row],[Region 1: Fixed Fee Per Case ($)]])/Table15[[#This Row],['# of CN Servings per case]]</f>
        <v>#DIV/0!</v>
      </c>
      <c r="T41" s="118" t="e">
        <f>Table15[[#This Row],[Total Cost Per Serving (N+O)/I]]*Table15[[#This Row],[Estimated Servings Annual]]</f>
        <v>#DIV/0!</v>
      </c>
      <c r="U41" s="105">
        <f>(Table15[[#This Row],[Commercial Bid Price per case for NOI ($)]]-Table15[[#This Row],[Pass-Thru Value per case ($)]])+Table15[[#This Row],[Region 2: Fixed Fee Per Case ($)]]</f>
        <v>0</v>
      </c>
      <c r="V41" s="24" t="e">
        <f>(Table15[[#This Row],[Commercial Bid Price per case for NOI ($)]]+Table15[[#This Row],[Region 2: Fixed Fee Per Case ($)]])/Table15[[#This Row],['# of CN Servings per case]]</f>
        <v>#DIV/0!</v>
      </c>
      <c r="W41" s="20" t="e">
        <f>Table15[[#This Row],[Total Cost Per Serving (N+P)/I]]*Table15[[#This Row],[Estimated Servings Annual]]</f>
        <v>#DIV/0!</v>
      </c>
    </row>
    <row r="42" spans="1:23" ht="15.75" thickBot="1" x14ac:dyDescent="0.3">
      <c r="A42" s="40" t="s">
        <v>38</v>
      </c>
      <c r="B42" s="8" t="s">
        <v>43</v>
      </c>
      <c r="C42" s="9" t="s">
        <v>13</v>
      </c>
      <c r="D42" s="9"/>
      <c r="E42" s="9"/>
      <c r="F42" s="9"/>
      <c r="G42" s="9"/>
      <c r="H42" s="9"/>
      <c r="I42" s="9"/>
      <c r="J42" s="94">
        <v>1200000</v>
      </c>
      <c r="K42" s="9"/>
      <c r="L42" s="9"/>
      <c r="M42" s="9"/>
      <c r="N42" s="9"/>
      <c r="O42" s="9"/>
      <c r="P42" s="9"/>
      <c r="Q42" s="111"/>
      <c r="R42" s="106">
        <f>(Table15[[#This Row],[Commercial Bid Price per case for NOI ($)]]-Table15[[#This Row],[Pass-Thru Value per case ($)]])+Table15[[#This Row],[Region 1: Fixed Fee Per Case ($)]]</f>
        <v>0</v>
      </c>
      <c r="S42" s="21" t="e">
        <f>(Table15[[#This Row],[Commercial Bid Price per case for NOI ($)]]+Table15[[#This Row],[Region 1: Fixed Fee Per Case ($)]])/Table15[[#This Row],['# of CN Servings per case]]</f>
        <v>#DIV/0!</v>
      </c>
      <c r="T42" s="120" t="e">
        <f>Table15[[#This Row],[Total Cost Per Serving (N+O)/I]]*Table15[[#This Row],[Estimated Servings Annual]]</f>
        <v>#DIV/0!</v>
      </c>
      <c r="U42" s="106">
        <f>(Table15[[#This Row],[Commercial Bid Price per case for NOI ($)]]-Table15[[#This Row],[Pass-Thru Value per case ($)]])+Table15[[#This Row],[Region 2: Fixed Fee Per Case ($)]]</f>
        <v>0</v>
      </c>
      <c r="V42" s="25" t="e">
        <f>(Table15[[#This Row],[Commercial Bid Price per case for NOI ($)]]+Table15[[#This Row],[Region 2: Fixed Fee Per Case ($)]])/Table15[[#This Row],['# of CN Servings per case]]</f>
        <v>#DIV/0!</v>
      </c>
      <c r="W42" s="23" t="e">
        <f>Table15[[#This Row],[Total Cost Per Serving (N+P)/I]]*Table15[[#This Row],[Estimated Servings Annual]]</f>
        <v>#DIV/0!</v>
      </c>
    </row>
    <row r="43" spans="1:23" x14ac:dyDescent="0.25">
      <c r="A43" s="39" t="s">
        <v>38</v>
      </c>
      <c r="B43" s="2" t="s">
        <v>44</v>
      </c>
      <c r="C43" s="3" t="s">
        <v>147</v>
      </c>
      <c r="D43" s="4"/>
      <c r="E43" s="4"/>
      <c r="F43" s="4"/>
      <c r="G43" s="4"/>
      <c r="H43" s="4"/>
      <c r="I43" s="4"/>
      <c r="J43" s="92">
        <v>1100000</v>
      </c>
      <c r="K43" s="4"/>
      <c r="L43" s="4"/>
      <c r="M43" s="4"/>
      <c r="N43" s="4"/>
      <c r="O43" s="4"/>
      <c r="P43" s="4"/>
      <c r="Q43" s="109"/>
      <c r="R43" s="104">
        <f>(Table15[[#This Row],[Commercial Bid Price per case for NOI ($)]]-Table15[[#This Row],[Pass-Thru Value per case ($)]])+Table15[[#This Row],[Region 1: Fixed Fee Per Case ($)]]</f>
        <v>0</v>
      </c>
      <c r="S43" s="15" t="e">
        <f>(Table15[[#This Row],[Commercial Bid Price per case for NOI ($)]]+Table15[[#This Row],[Region 1: Fixed Fee Per Case ($)]])/Table15[[#This Row],['# of CN Servings per case]]</f>
        <v>#DIV/0!</v>
      </c>
      <c r="T43" s="115" t="e">
        <f>Table15[[#This Row],[Total Cost Per Serving (N+O)/I]]*Table15[[#This Row],[Estimated Servings Annual]]</f>
        <v>#DIV/0!</v>
      </c>
      <c r="U43" s="104">
        <f>(Table15[[#This Row],[Commercial Bid Price per case for NOI ($)]]-Table15[[#This Row],[Pass-Thru Value per case ($)]])+Table15[[#This Row],[Region 2: Fixed Fee Per Case ($)]]</f>
        <v>0</v>
      </c>
      <c r="V43" s="31" t="e">
        <f>(Table15[[#This Row],[Commercial Bid Price per case for NOI ($)]]+Table15[[#This Row],[Region 2: Fixed Fee Per Case ($)]])/Table15[[#This Row],['# of CN Servings per case]]</f>
        <v>#DIV/0!</v>
      </c>
      <c r="W43" s="17" t="e">
        <f>Table15[[#This Row],[Total Cost Per Serving (N+P)/I]]*Table15[[#This Row],[Estimated Servings Annual]]</f>
        <v>#DIV/0!</v>
      </c>
    </row>
    <row r="44" spans="1:23" x14ac:dyDescent="0.25">
      <c r="A44" s="39" t="s">
        <v>38</v>
      </c>
      <c r="B44" s="5" t="s">
        <v>44</v>
      </c>
      <c r="C44" s="6" t="s">
        <v>147</v>
      </c>
      <c r="D44" s="7"/>
      <c r="E44" s="7"/>
      <c r="F44" s="7"/>
      <c r="G44" s="7"/>
      <c r="H44" s="7"/>
      <c r="I44" s="7"/>
      <c r="J44" s="93">
        <v>1100000</v>
      </c>
      <c r="K44" s="7"/>
      <c r="L44" s="7"/>
      <c r="M44" s="7"/>
      <c r="N44" s="7"/>
      <c r="O44" s="7"/>
      <c r="P44" s="7"/>
      <c r="Q44" s="110"/>
      <c r="R44" s="105">
        <f>(Table15[[#This Row],[Commercial Bid Price per case for NOI ($)]]-Table15[[#This Row],[Pass-Thru Value per case ($)]])+Table15[[#This Row],[Region 1: Fixed Fee Per Case ($)]]</f>
        <v>0</v>
      </c>
      <c r="S44" s="18" t="e">
        <f>(Table15[[#This Row],[Commercial Bid Price per case for NOI ($)]]+Table15[[#This Row],[Region 1: Fixed Fee Per Case ($)]])/Table15[[#This Row],['# of CN Servings per case]]</f>
        <v>#DIV/0!</v>
      </c>
      <c r="T44" s="118" t="e">
        <f>Table15[[#This Row],[Total Cost Per Serving (N+O)/I]]*Table15[[#This Row],[Estimated Servings Annual]]</f>
        <v>#DIV/0!</v>
      </c>
      <c r="U44" s="105">
        <f>(Table15[[#This Row],[Commercial Bid Price per case for NOI ($)]]-Table15[[#This Row],[Pass-Thru Value per case ($)]])+Table15[[#This Row],[Region 2: Fixed Fee Per Case ($)]]</f>
        <v>0</v>
      </c>
      <c r="V44" s="24" t="e">
        <f>(Table15[[#This Row],[Commercial Bid Price per case for NOI ($)]]+Table15[[#This Row],[Region 2: Fixed Fee Per Case ($)]])/Table15[[#This Row],['# of CN Servings per case]]</f>
        <v>#DIV/0!</v>
      </c>
      <c r="W44" s="20" t="e">
        <f>Table15[[#This Row],[Total Cost Per Serving (N+P)/I]]*Table15[[#This Row],[Estimated Servings Annual]]</f>
        <v>#DIV/0!</v>
      </c>
    </row>
    <row r="45" spans="1:23" x14ac:dyDescent="0.25">
      <c r="A45" s="39" t="s">
        <v>38</v>
      </c>
      <c r="B45" s="5" t="s">
        <v>44</v>
      </c>
      <c r="C45" s="6" t="s">
        <v>109</v>
      </c>
      <c r="D45" s="7"/>
      <c r="E45" s="7"/>
      <c r="F45" s="7"/>
      <c r="G45" s="7"/>
      <c r="H45" s="7"/>
      <c r="I45" s="7"/>
      <c r="J45" s="93">
        <v>1100000</v>
      </c>
      <c r="K45" s="7"/>
      <c r="L45" s="7"/>
      <c r="M45" s="7"/>
      <c r="N45" s="7"/>
      <c r="O45" s="7"/>
      <c r="P45" s="7"/>
      <c r="Q45" s="110"/>
      <c r="R45" s="105">
        <f>(Table15[[#This Row],[Commercial Bid Price per case for NOI ($)]]-Table15[[#This Row],[Pass-Thru Value per case ($)]])+Table15[[#This Row],[Region 1: Fixed Fee Per Case ($)]]</f>
        <v>0</v>
      </c>
      <c r="S45" s="18" t="e">
        <f>(Table15[[#This Row],[Commercial Bid Price per case for NOI ($)]]+Table15[[#This Row],[Region 1: Fixed Fee Per Case ($)]])/Table15[[#This Row],['# of CN Servings per case]]</f>
        <v>#DIV/0!</v>
      </c>
      <c r="T45" s="118" t="e">
        <f>Table15[[#This Row],[Total Cost Per Serving (N+O)/I]]*Table15[[#This Row],[Estimated Servings Annual]]</f>
        <v>#DIV/0!</v>
      </c>
      <c r="U45" s="105">
        <f>(Table15[[#This Row],[Commercial Bid Price per case for NOI ($)]]-Table15[[#This Row],[Pass-Thru Value per case ($)]])+Table15[[#This Row],[Region 2: Fixed Fee Per Case ($)]]</f>
        <v>0</v>
      </c>
      <c r="V45" s="24" t="e">
        <f>(Table15[[#This Row],[Commercial Bid Price per case for NOI ($)]]+Table15[[#This Row],[Region 2: Fixed Fee Per Case ($)]])/Table15[[#This Row],['# of CN Servings per case]]</f>
        <v>#DIV/0!</v>
      </c>
      <c r="W45" s="20" t="e">
        <f>Table15[[#This Row],[Total Cost Per Serving (N+P)/I]]*Table15[[#This Row],[Estimated Servings Annual]]</f>
        <v>#DIV/0!</v>
      </c>
    </row>
    <row r="46" spans="1:23" x14ac:dyDescent="0.25">
      <c r="A46" s="39" t="s">
        <v>38</v>
      </c>
      <c r="B46" s="5" t="s">
        <v>44</v>
      </c>
      <c r="C46" s="6" t="s">
        <v>109</v>
      </c>
      <c r="D46" s="7"/>
      <c r="E46" s="7"/>
      <c r="F46" s="7"/>
      <c r="G46" s="7"/>
      <c r="H46" s="7"/>
      <c r="I46" s="7"/>
      <c r="J46" s="93">
        <v>1100000</v>
      </c>
      <c r="K46" s="7"/>
      <c r="L46" s="7"/>
      <c r="M46" s="7"/>
      <c r="N46" s="7"/>
      <c r="O46" s="7"/>
      <c r="P46" s="7"/>
      <c r="Q46" s="110"/>
      <c r="R46" s="105">
        <f>(Table15[[#This Row],[Commercial Bid Price per case for NOI ($)]]-Table15[[#This Row],[Pass-Thru Value per case ($)]])+Table15[[#This Row],[Region 1: Fixed Fee Per Case ($)]]</f>
        <v>0</v>
      </c>
      <c r="S46" s="18" t="e">
        <f>(Table15[[#This Row],[Commercial Bid Price per case for NOI ($)]]+Table15[[#This Row],[Region 1: Fixed Fee Per Case ($)]])/Table15[[#This Row],['# of CN Servings per case]]</f>
        <v>#DIV/0!</v>
      </c>
      <c r="T46" s="118" t="e">
        <f>Table15[[#This Row],[Total Cost Per Serving (N+O)/I]]*Table15[[#This Row],[Estimated Servings Annual]]</f>
        <v>#DIV/0!</v>
      </c>
      <c r="U46" s="105">
        <f>(Table15[[#This Row],[Commercial Bid Price per case for NOI ($)]]-Table15[[#This Row],[Pass-Thru Value per case ($)]])+Table15[[#This Row],[Region 2: Fixed Fee Per Case ($)]]</f>
        <v>0</v>
      </c>
      <c r="V46" s="24" t="e">
        <f>(Table15[[#This Row],[Commercial Bid Price per case for NOI ($)]]+Table15[[#This Row],[Region 2: Fixed Fee Per Case ($)]])/Table15[[#This Row],['# of CN Servings per case]]</f>
        <v>#DIV/0!</v>
      </c>
      <c r="W46" s="20" t="e">
        <f>Table15[[#This Row],[Total Cost Per Serving (N+P)/I]]*Table15[[#This Row],[Estimated Servings Annual]]</f>
        <v>#DIV/0!</v>
      </c>
    </row>
    <row r="47" spans="1:23" x14ac:dyDescent="0.25">
      <c r="A47" s="39" t="s">
        <v>38</v>
      </c>
      <c r="B47" s="5" t="s">
        <v>44</v>
      </c>
      <c r="C47" s="7" t="s">
        <v>13</v>
      </c>
      <c r="D47" s="7"/>
      <c r="E47" s="7"/>
      <c r="F47" s="7"/>
      <c r="G47" s="7"/>
      <c r="H47" s="7"/>
      <c r="I47" s="7"/>
      <c r="J47" s="93">
        <v>1100000</v>
      </c>
      <c r="K47" s="7"/>
      <c r="L47" s="7"/>
      <c r="M47" s="7"/>
      <c r="N47" s="7"/>
      <c r="O47" s="7"/>
      <c r="P47" s="7"/>
      <c r="Q47" s="110"/>
      <c r="R47" s="105">
        <f>(Table15[[#This Row],[Commercial Bid Price per case for NOI ($)]]-Table15[[#This Row],[Pass-Thru Value per case ($)]])+Table15[[#This Row],[Region 1: Fixed Fee Per Case ($)]]</f>
        <v>0</v>
      </c>
      <c r="S47" s="18" t="e">
        <f>(Table15[[#This Row],[Commercial Bid Price per case for NOI ($)]]+Table15[[#This Row],[Region 1: Fixed Fee Per Case ($)]])/Table15[[#This Row],['# of CN Servings per case]]</f>
        <v>#DIV/0!</v>
      </c>
      <c r="T47" s="118" t="e">
        <f>Table15[[#This Row],[Total Cost Per Serving (N+O)/I]]*Table15[[#This Row],[Estimated Servings Annual]]</f>
        <v>#DIV/0!</v>
      </c>
      <c r="U47" s="105">
        <f>(Table15[[#This Row],[Commercial Bid Price per case for NOI ($)]]-Table15[[#This Row],[Pass-Thru Value per case ($)]])+Table15[[#This Row],[Region 2: Fixed Fee Per Case ($)]]</f>
        <v>0</v>
      </c>
      <c r="V47" s="24" t="e">
        <f>(Table15[[#This Row],[Commercial Bid Price per case for NOI ($)]]+Table15[[#This Row],[Region 2: Fixed Fee Per Case ($)]])/Table15[[#This Row],['# of CN Servings per case]]</f>
        <v>#DIV/0!</v>
      </c>
      <c r="W47" s="20" t="e">
        <f>Table15[[#This Row],[Total Cost Per Serving (N+P)/I]]*Table15[[#This Row],[Estimated Servings Annual]]</f>
        <v>#DIV/0!</v>
      </c>
    </row>
    <row r="48" spans="1:23" x14ac:dyDescent="0.25">
      <c r="A48" s="39" t="s">
        <v>38</v>
      </c>
      <c r="B48" s="5" t="s">
        <v>44</v>
      </c>
      <c r="C48" s="7" t="s">
        <v>13</v>
      </c>
      <c r="D48" s="7"/>
      <c r="E48" s="7"/>
      <c r="F48" s="7"/>
      <c r="G48" s="7"/>
      <c r="H48" s="7"/>
      <c r="I48" s="7"/>
      <c r="J48" s="93">
        <v>1100000</v>
      </c>
      <c r="K48" s="7"/>
      <c r="L48" s="7"/>
      <c r="M48" s="7"/>
      <c r="N48" s="7"/>
      <c r="O48" s="7"/>
      <c r="P48" s="7"/>
      <c r="Q48" s="110"/>
      <c r="R48" s="105">
        <f>(Table15[[#This Row],[Commercial Bid Price per case for NOI ($)]]-Table15[[#This Row],[Pass-Thru Value per case ($)]])+Table15[[#This Row],[Region 1: Fixed Fee Per Case ($)]]</f>
        <v>0</v>
      </c>
      <c r="S48" s="18" t="e">
        <f>(Table15[[#This Row],[Commercial Bid Price per case for NOI ($)]]+Table15[[#This Row],[Region 1: Fixed Fee Per Case ($)]])/Table15[[#This Row],['# of CN Servings per case]]</f>
        <v>#DIV/0!</v>
      </c>
      <c r="T48" s="118" t="e">
        <f>Table15[[#This Row],[Total Cost Per Serving (N+O)/I]]*Table15[[#This Row],[Estimated Servings Annual]]</f>
        <v>#DIV/0!</v>
      </c>
      <c r="U48" s="105">
        <f>(Table15[[#This Row],[Commercial Bid Price per case for NOI ($)]]-Table15[[#This Row],[Pass-Thru Value per case ($)]])+Table15[[#This Row],[Region 2: Fixed Fee Per Case ($)]]</f>
        <v>0</v>
      </c>
      <c r="V48" s="24" t="e">
        <f>(Table15[[#This Row],[Commercial Bid Price per case for NOI ($)]]+Table15[[#This Row],[Region 2: Fixed Fee Per Case ($)]])/Table15[[#This Row],['# of CN Servings per case]]</f>
        <v>#DIV/0!</v>
      </c>
      <c r="W48" s="20" t="e">
        <f>Table15[[#This Row],[Total Cost Per Serving (N+P)/I]]*Table15[[#This Row],[Estimated Servings Annual]]</f>
        <v>#DIV/0!</v>
      </c>
    </row>
    <row r="49" spans="1:23" x14ac:dyDescent="0.25">
      <c r="A49" s="39" t="s">
        <v>38</v>
      </c>
      <c r="B49" s="5" t="s">
        <v>44</v>
      </c>
      <c r="C49" s="7" t="s">
        <v>13</v>
      </c>
      <c r="D49" s="7"/>
      <c r="E49" s="7"/>
      <c r="F49" s="7"/>
      <c r="G49" s="7"/>
      <c r="H49" s="7"/>
      <c r="I49" s="7"/>
      <c r="J49" s="93">
        <v>1100000</v>
      </c>
      <c r="K49" s="7"/>
      <c r="L49" s="7"/>
      <c r="M49" s="7"/>
      <c r="N49" s="7"/>
      <c r="O49" s="7"/>
      <c r="P49" s="7"/>
      <c r="Q49" s="110"/>
      <c r="R49" s="105">
        <f>(Table15[[#This Row],[Commercial Bid Price per case for NOI ($)]]-Table15[[#This Row],[Pass-Thru Value per case ($)]])+Table15[[#This Row],[Region 1: Fixed Fee Per Case ($)]]</f>
        <v>0</v>
      </c>
      <c r="S49" s="18" t="e">
        <f>(Table15[[#This Row],[Commercial Bid Price per case for NOI ($)]]+Table15[[#This Row],[Region 1: Fixed Fee Per Case ($)]])/Table15[[#This Row],['# of CN Servings per case]]</f>
        <v>#DIV/0!</v>
      </c>
      <c r="T49" s="118" t="e">
        <f>Table15[[#This Row],[Total Cost Per Serving (N+O)/I]]*Table15[[#This Row],[Estimated Servings Annual]]</f>
        <v>#DIV/0!</v>
      </c>
      <c r="U49" s="105">
        <f>(Table15[[#This Row],[Commercial Bid Price per case for NOI ($)]]-Table15[[#This Row],[Pass-Thru Value per case ($)]])+Table15[[#This Row],[Region 2: Fixed Fee Per Case ($)]]</f>
        <v>0</v>
      </c>
      <c r="V49" s="24" t="e">
        <f>(Table15[[#This Row],[Commercial Bid Price per case for NOI ($)]]+Table15[[#This Row],[Region 2: Fixed Fee Per Case ($)]])/Table15[[#This Row],['# of CN Servings per case]]</f>
        <v>#DIV/0!</v>
      </c>
      <c r="W49" s="20" t="e">
        <f>Table15[[#This Row],[Total Cost Per Serving (N+P)/I]]*Table15[[#This Row],[Estimated Servings Annual]]</f>
        <v>#DIV/0!</v>
      </c>
    </row>
    <row r="50" spans="1:23" ht="15.75" thickBot="1" x14ac:dyDescent="0.3">
      <c r="A50" s="40" t="s">
        <v>38</v>
      </c>
      <c r="B50" s="8" t="s">
        <v>44</v>
      </c>
      <c r="C50" s="9" t="s">
        <v>13</v>
      </c>
      <c r="D50" s="9"/>
      <c r="E50" s="9"/>
      <c r="F50" s="9"/>
      <c r="G50" s="9"/>
      <c r="H50" s="9"/>
      <c r="I50" s="9"/>
      <c r="J50" s="94">
        <v>1100000</v>
      </c>
      <c r="K50" s="9"/>
      <c r="L50" s="9"/>
      <c r="M50" s="9"/>
      <c r="N50" s="9"/>
      <c r="O50" s="9"/>
      <c r="P50" s="9"/>
      <c r="Q50" s="111"/>
      <c r="R50" s="106">
        <f>(Table15[[#This Row],[Commercial Bid Price per case for NOI ($)]]-Table15[[#This Row],[Pass-Thru Value per case ($)]])+Table15[[#This Row],[Region 1: Fixed Fee Per Case ($)]]</f>
        <v>0</v>
      </c>
      <c r="S50" s="21" t="e">
        <f>(Table15[[#This Row],[Commercial Bid Price per case for NOI ($)]]+Table15[[#This Row],[Region 1: Fixed Fee Per Case ($)]])/Table15[[#This Row],['# of CN Servings per case]]</f>
        <v>#DIV/0!</v>
      </c>
      <c r="T50" s="120" t="e">
        <f>Table15[[#This Row],[Total Cost Per Serving (N+O)/I]]*Table15[[#This Row],[Estimated Servings Annual]]</f>
        <v>#DIV/0!</v>
      </c>
      <c r="U50" s="106">
        <f>(Table15[[#This Row],[Commercial Bid Price per case for NOI ($)]]-Table15[[#This Row],[Pass-Thru Value per case ($)]])+Table15[[#This Row],[Region 2: Fixed Fee Per Case ($)]]</f>
        <v>0</v>
      </c>
      <c r="V50" s="25" t="e">
        <f>(Table15[[#This Row],[Commercial Bid Price per case for NOI ($)]]+Table15[[#This Row],[Region 2: Fixed Fee Per Case ($)]])/Table15[[#This Row],['# of CN Servings per case]]</f>
        <v>#DIV/0!</v>
      </c>
      <c r="W50" s="23" t="e">
        <f>Table15[[#This Row],[Total Cost Per Serving (N+P)/I]]*Table15[[#This Row],[Estimated Servings Annual]]</f>
        <v>#DIV/0!</v>
      </c>
    </row>
    <row r="51" spans="1:23" x14ac:dyDescent="0.25">
      <c r="A51" s="39" t="s">
        <v>38</v>
      </c>
      <c r="B51" s="34" t="s">
        <v>45</v>
      </c>
      <c r="C51" s="3" t="s">
        <v>147</v>
      </c>
      <c r="D51" s="29"/>
      <c r="E51" s="29"/>
      <c r="F51" s="29"/>
      <c r="G51" s="29"/>
      <c r="H51" s="29"/>
      <c r="I51" s="29"/>
      <c r="J51" s="95">
        <v>1200000</v>
      </c>
      <c r="K51" s="29"/>
      <c r="L51" s="29"/>
      <c r="M51" s="29"/>
      <c r="N51" s="29"/>
      <c r="O51" s="29"/>
      <c r="P51" s="29"/>
      <c r="Q51" s="112"/>
      <c r="R51" s="114">
        <f>(Table15[[#This Row],[Commercial Bid Price per case for NOI ($)]]-Table15[[#This Row],[Pass-Thru Value per case ($)]])+Table15[[#This Row],[Region 1: Fixed Fee Per Case ($)]]</f>
        <v>0</v>
      </c>
      <c r="S51" s="126" t="e">
        <f>(Table15[[#This Row],[Commercial Bid Price per case for NOI ($)]]+Table15[[#This Row],[Region 1: Fixed Fee Per Case ($)]])/Table15[[#This Row],['# of CN Servings per case]]</f>
        <v>#DIV/0!</v>
      </c>
      <c r="T51" s="116" t="e">
        <f>Table15[[#This Row],[Total Cost Per Serving (N+O)/I]]*Table15[[#This Row],[Estimated Servings Annual]]</f>
        <v>#DIV/0!</v>
      </c>
      <c r="U51" s="104">
        <f>(Table15[[#This Row],[Commercial Bid Price per case for NOI ($)]]-Table15[[#This Row],[Pass-Thru Value per case ($)]])+Table15[[#This Row],[Region 2: Fixed Fee Per Case ($)]]</f>
        <v>0</v>
      </c>
      <c r="V51" s="31" t="e">
        <f>(Table15[[#This Row],[Commercial Bid Price per case for NOI ($)]]+Table15[[#This Row],[Region 2: Fixed Fee Per Case ($)]])/Table15[[#This Row],['# of CN Servings per case]]</f>
        <v>#DIV/0!</v>
      </c>
      <c r="W51" s="17" t="e">
        <f>Table15[[#This Row],[Total Cost Per Serving (N+P)/I]]*Table15[[#This Row],[Estimated Servings Annual]]</f>
        <v>#DIV/0!</v>
      </c>
    </row>
    <row r="52" spans="1:23" x14ac:dyDescent="0.25">
      <c r="A52" s="39" t="s">
        <v>38</v>
      </c>
      <c r="B52" s="5" t="s">
        <v>45</v>
      </c>
      <c r="C52" s="6" t="s">
        <v>147</v>
      </c>
      <c r="D52" s="7"/>
      <c r="E52" s="7"/>
      <c r="F52" s="7"/>
      <c r="G52" s="7"/>
      <c r="H52" s="7"/>
      <c r="I52" s="7"/>
      <c r="J52" s="95">
        <v>1200000</v>
      </c>
      <c r="K52" s="7"/>
      <c r="L52" s="7"/>
      <c r="M52" s="7"/>
      <c r="N52" s="7"/>
      <c r="O52" s="7"/>
      <c r="P52" s="7"/>
      <c r="Q52" s="110"/>
      <c r="R52" s="105">
        <f>(Table15[[#This Row],[Commercial Bid Price per case for NOI ($)]]-Table15[[#This Row],[Pass-Thru Value per case ($)]])+Table15[[#This Row],[Region 1: Fixed Fee Per Case ($)]]</f>
        <v>0</v>
      </c>
      <c r="S52" s="127" t="e">
        <f>(Table15[[#This Row],[Commercial Bid Price per case for NOI ($)]]+Table15[[#This Row],[Region 1: Fixed Fee Per Case ($)]])/Table15[[#This Row],['# of CN Servings per case]]</f>
        <v>#DIV/0!</v>
      </c>
      <c r="T52" s="118" t="e">
        <f>Table15[[#This Row],[Total Cost Per Serving (N+O)/I]]*Table15[[#This Row],[Estimated Servings Annual]]</f>
        <v>#DIV/0!</v>
      </c>
      <c r="U52" s="105">
        <f>(Table15[[#This Row],[Commercial Bid Price per case for NOI ($)]]-Table15[[#This Row],[Pass-Thru Value per case ($)]])+Table15[[#This Row],[Region 2: Fixed Fee Per Case ($)]]</f>
        <v>0</v>
      </c>
      <c r="V52" s="24" t="e">
        <f>(Table15[[#This Row],[Commercial Bid Price per case for NOI ($)]]+Table15[[#This Row],[Region 2: Fixed Fee Per Case ($)]])/Table15[[#This Row],['# of CN Servings per case]]</f>
        <v>#DIV/0!</v>
      </c>
      <c r="W52" s="20" t="e">
        <f>Table15[[#This Row],[Total Cost Per Serving (N+P)/I]]*Table15[[#This Row],[Estimated Servings Annual]]</f>
        <v>#DIV/0!</v>
      </c>
    </row>
    <row r="53" spans="1:23" x14ac:dyDescent="0.25">
      <c r="A53" s="39" t="s">
        <v>38</v>
      </c>
      <c r="B53" s="5" t="s">
        <v>45</v>
      </c>
      <c r="C53" s="6" t="s">
        <v>109</v>
      </c>
      <c r="D53" s="7"/>
      <c r="E53" s="7"/>
      <c r="F53" s="7"/>
      <c r="G53" s="7"/>
      <c r="H53" s="7"/>
      <c r="I53" s="7"/>
      <c r="J53" s="95">
        <v>1200000</v>
      </c>
      <c r="K53" s="7"/>
      <c r="L53" s="7"/>
      <c r="M53" s="7"/>
      <c r="N53" s="7"/>
      <c r="O53" s="7"/>
      <c r="P53" s="7"/>
      <c r="Q53" s="110"/>
      <c r="R53" s="105">
        <f>(Table15[[#This Row],[Commercial Bid Price per case for NOI ($)]]-Table15[[#This Row],[Pass-Thru Value per case ($)]])+Table15[[#This Row],[Region 1: Fixed Fee Per Case ($)]]</f>
        <v>0</v>
      </c>
      <c r="S53" s="127" t="e">
        <f>(Table15[[#This Row],[Commercial Bid Price per case for NOI ($)]]+Table15[[#This Row],[Region 1: Fixed Fee Per Case ($)]])/Table15[[#This Row],['# of CN Servings per case]]</f>
        <v>#DIV/0!</v>
      </c>
      <c r="T53" s="118" t="e">
        <f>Table15[[#This Row],[Total Cost Per Serving (N+O)/I]]*Table15[[#This Row],[Estimated Servings Annual]]</f>
        <v>#DIV/0!</v>
      </c>
      <c r="U53" s="105">
        <f>(Table15[[#This Row],[Commercial Bid Price per case for NOI ($)]]-Table15[[#This Row],[Pass-Thru Value per case ($)]])+Table15[[#This Row],[Region 2: Fixed Fee Per Case ($)]]</f>
        <v>0</v>
      </c>
      <c r="V53" s="24" t="e">
        <f>(Table15[[#This Row],[Commercial Bid Price per case for NOI ($)]]+Table15[[#This Row],[Region 2: Fixed Fee Per Case ($)]])/Table15[[#This Row],['# of CN Servings per case]]</f>
        <v>#DIV/0!</v>
      </c>
      <c r="W53" s="20" t="e">
        <f>Table15[[#This Row],[Total Cost Per Serving (N+P)/I]]*Table15[[#This Row],[Estimated Servings Annual]]</f>
        <v>#DIV/0!</v>
      </c>
    </row>
    <row r="54" spans="1:23" x14ac:dyDescent="0.25">
      <c r="A54" s="39" t="s">
        <v>38</v>
      </c>
      <c r="B54" s="5" t="s">
        <v>45</v>
      </c>
      <c r="C54" s="6" t="s">
        <v>109</v>
      </c>
      <c r="D54" s="7"/>
      <c r="E54" s="7"/>
      <c r="F54" s="7"/>
      <c r="G54" s="7"/>
      <c r="H54" s="7"/>
      <c r="I54" s="7"/>
      <c r="J54" s="95">
        <v>1200000</v>
      </c>
      <c r="K54" s="7"/>
      <c r="L54" s="7"/>
      <c r="M54" s="7"/>
      <c r="N54" s="7"/>
      <c r="O54" s="7"/>
      <c r="P54" s="7"/>
      <c r="Q54" s="110"/>
      <c r="R54" s="105">
        <f>(Table15[[#This Row],[Commercial Bid Price per case for NOI ($)]]-Table15[[#This Row],[Pass-Thru Value per case ($)]])+Table15[[#This Row],[Region 1: Fixed Fee Per Case ($)]]</f>
        <v>0</v>
      </c>
      <c r="S54" s="127" t="e">
        <f>(Table15[[#This Row],[Commercial Bid Price per case for NOI ($)]]+Table15[[#This Row],[Region 1: Fixed Fee Per Case ($)]])/Table15[[#This Row],['# of CN Servings per case]]</f>
        <v>#DIV/0!</v>
      </c>
      <c r="T54" s="118" t="e">
        <f>Table15[[#This Row],[Total Cost Per Serving (N+O)/I]]*Table15[[#This Row],[Estimated Servings Annual]]</f>
        <v>#DIV/0!</v>
      </c>
      <c r="U54" s="105">
        <f>(Table15[[#This Row],[Commercial Bid Price per case for NOI ($)]]-Table15[[#This Row],[Pass-Thru Value per case ($)]])+Table15[[#This Row],[Region 2: Fixed Fee Per Case ($)]]</f>
        <v>0</v>
      </c>
      <c r="V54" s="24" t="e">
        <f>(Table15[[#This Row],[Commercial Bid Price per case for NOI ($)]]+Table15[[#This Row],[Region 2: Fixed Fee Per Case ($)]])/Table15[[#This Row],['# of CN Servings per case]]</f>
        <v>#DIV/0!</v>
      </c>
      <c r="W54" s="20" t="e">
        <f>Table15[[#This Row],[Total Cost Per Serving (N+P)/I]]*Table15[[#This Row],[Estimated Servings Annual]]</f>
        <v>#DIV/0!</v>
      </c>
    </row>
    <row r="55" spans="1:23" x14ac:dyDescent="0.25">
      <c r="A55" s="39" t="s">
        <v>38</v>
      </c>
      <c r="B55" s="5" t="s">
        <v>45</v>
      </c>
      <c r="C55" s="7" t="s">
        <v>13</v>
      </c>
      <c r="D55" s="7"/>
      <c r="E55" s="7"/>
      <c r="F55" s="7"/>
      <c r="G55" s="7"/>
      <c r="H55" s="7"/>
      <c r="I55" s="7"/>
      <c r="J55" s="95">
        <v>1200000</v>
      </c>
      <c r="K55" s="7"/>
      <c r="L55" s="7"/>
      <c r="M55" s="7"/>
      <c r="N55" s="7"/>
      <c r="O55" s="7"/>
      <c r="P55" s="7"/>
      <c r="Q55" s="110"/>
      <c r="R55" s="105">
        <f>(Table15[[#This Row],[Commercial Bid Price per case for NOI ($)]]-Table15[[#This Row],[Pass-Thru Value per case ($)]])+Table15[[#This Row],[Region 1: Fixed Fee Per Case ($)]]</f>
        <v>0</v>
      </c>
      <c r="S55" s="127" t="e">
        <f>(Table15[[#This Row],[Commercial Bid Price per case for NOI ($)]]+Table15[[#This Row],[Region 1: Fixed Fee Per Case ($)]])/Table15[[#This Row],['# of CN Servings per case]]</f>
        <v>#DIV/0!</v>
      </c>
      <c r="T55" s="118" t="e">
        <f>Table15[[#This Row],[Total Cost Per Serving (N+O)/I]]*Table15[[#This Row],[Estimated Servings Annual]]</f>
        <v>#DIV/0!</v>
      </c>
      <c r="U55" s="105">
        <f>(Table15[[#This Row],[Commercial Bid Price per case for NOI ($)]]-Table15[[#This Row],[Pass-Thru Value per case ($)]])+Table15[[#This Row],[Region 2: Fixed Fee Per Case ($)]]</f>
        <v>0</v>
      </c>
      <c r="V55" s="24" t="e">
        <f>(Table15[[#This Row],[Commercial Bid Price per case for NOI ($)]]+Table15[[#This Row],[Region 2: Fixed Fee Per Case ($)]])/Table15[[#This Row],['# of CN Servings per case]]</f>
        <v>#DIV/0!</v>
      </c>
      <c r="W55" s="20" t="e">
        <f>Table15[[#This Row],[Total Cost Per Serving (N+P)/I]]*Table15[[#This Row],[Estimated Servings Annual]]</f>
        <v>#DIV/0!</v>
      </c>
    </row>
    <row r="56" spans="1:23" x14ac:dyDescent="0.25">
      <c r="A56" s="39" t="s">
        <v>38</v>
      </c>
      <c r="B56" s="5" t="s">
        <v>45</v>
      </c>
      <c r="C56" s="7" t="s">
        <v>13</v>
      </c>
      <c r="D56" s="7"/>
      <c r="E56" s="7"/>
      <c r="F56" s="7"/>
      <c r="G56" s="7"/>
      <c r="H56" s="7"/>
      <c r="I56" s="7"/>
      <c r="J56" s="95">
        <v>1200000</v>
      </c>
      <c r="K56" s="7"/>
      <c r="L56" s="7"/>
      <c r="M56" s="7"/>
      <c r="N56" s="7"/>
      <c r="O56" s="7"/>
      <c r="P56" s="7"/>
      <c r="Q56" s="110"/>
      <c r="R56" s="105">
        <f>(Table15[[#This Row],[Commercial Bid Price per case for NOI ($)]]-Table15[[#This Row],[Pass-Thru Value per case ($)]])+Table15[[#This Row],[Region 1: Fixed Fee Per Case ($)]]</f>
        <v>0</v>
      </c>
      <c r="S56" s="127" t="e">
        <f>(Table15[[#This Row],[Commercial Bid Price per case for NOI ($)]]+Table15[[#This Row],[Region 1: Fixed Fee Per Case ($)]])/Table15[[#This Row],['# of CN Servings per case]]</f>
        <v>#DIV/0!</v>
      </c>
      <c r="T56" s="118" t="e">
        <f>Table15[[#This Row],[Total Cost Per Serving (N+O)/I]]*Table15[[#This Row],[Estimated Servings Annual]]</f>
        <v>#DIV/0!</v>
      </c>
      <c r="U56" s="105">
        <f>(Table15[[#This Row],[Commercial Bid Price per case for NOI ($)]]-Table15[[#This Row],[Pass-Thru Value per case ($)]])+Table15[[#This Row],[Region 2: Fixed Fee Per Case ($)]]</f>
        <v>0</v>
      </c>
      <c r="V56" s="24" t="e">
        <f>(Table15[[#This Row],[Commercial Bid Price per case for NOI ($)]]+Table15[[#This Row],[Region 2: Fixed Fee Per Case ($)]])/Table15[[#This Row],['# of CN Servings per case]]</f>
        <v>#DIV/0!</v>
      </c>
      <c r="W56" s="20" t="e">
        <f>Table15[[#This Row],[Total Cost Per Serving (N+P)/I]]*Table15[[#This Row],[Estimated Servings Annual]]</f>
        <v>#DIV/0!</v>
      </c>
    </row>
    <row r="57" spans="1:23" x14ac:dyDescent="0.25">
      <c r="A57" s="39" t="s">
        <v>38</v>
      </c>
      <c r="B57" s="5" t="s">
        <v>45</v>
      </c>
      <c r="C57" s="7" t="s">
        <v>13</v>
      </c>
      <c r="D57" s="7"/>
      <c r="E57" s="7"/>
      <c r="F57" s="7"/>
      <c r="G57" s="7"/>
      <c r="H57" s="7"/>
      <c r="I57" s="7"/>
      <c r="J57" s="95">
        <v>1200000</v>
      </c>
      <c r="K57" s="7"/>
      <c r="L57" s="7"/>
      <c r="M57" s="7"/>
      <c r="N57" s="7"/>
      <c r="O57" s="7"/>
      <c r="P57" s="7"/>
      <c r="Q57" s="110"/>
      <c r="R57" s="105">
        <f>(Table15[[#This Row],[Commercial Bid Price per case for NOI ($)]]-Table15[[#This Row],[Pass-Thru Value per case ($)]])+Table15[[#This Row],[Region 1: Fixed Fee Per Case ($)]]</f>
        <v>0</v>
      </c>
      <c r="S57" s="127" t="e">
        <f>(Table15[[#This Row],[Commercial Bid Price per case for NOI ($)]]+Table15[[#This Row],[Region 1: Fixed Fee Per Case ($)]])/Table15[[#This Row],['# of CN Servings per case]]</f>
        <v>#DIV/0!</v>
      </c>
      <c r="T57" s="118" t="e">
        <f>Table15[[#This Row],[Total Cost Per Serving (N+O)/I]]*Table15[[#This Row],[Estimated Servings Annual]]</f>
        <v>#DIV/0!</v>
      </c>
      <c r="U57" s="105">
        <f>(Table15[[#This Row],[Commercial Bid Price per case for NOI ($)]]-Table15[[#This Row],[Pass-Thru Value per case ($)]])+Table15[[#This Row],[Region 2: Fixed Fee Per Case ($)]]</f>
        <v>0</v>
      </c>
      <c r="V57" s="24" t="e">
        <f>(Table15[[#This Row],[Commercial Bid Price per case for NOI ($)]]+Table15[[#This Row],[Region 2: Fixed Fee Per Case ($)]])/Table15[[#This Row],['# of CN Servings per case]]</f>
        <v>#DIV/0!</v>
      </c>
      <c r="W57" s="20" t="e">
        <f>Table15[[#This Row],[Total Cost Per Serving (N+P)/I]]*Table15[[#This Row],[Estimated Servings Annual]]</f>
        <v>#DIV/0!</v>
      </c>
    </row>
    <row r="58" spans="1:23" ht="15.75" thickBot="1" x14ac:dyDescent="0.3">
      <c r="A58" s="40" t="s">
        <v>38</v>
      </c>
      <c r="B58" s="8" t="s">
        <v>45</v>
      </c>
      <c r="C58" s="9" t="s">
        <v>13</v>
      </c>
      <c r="D58" s="9"/>
      <c r="E58" s="9"/>
      <c r="F58" s="9"/>
      <c r="G58" s="9"/>
      <c r="H58" s="9"/>
      <c r="I58" s="9"/>
      <c r="J58" s="95">
        <v>1200000</v>
      </c>
      <c r="K58" s="9"/>
      <c r="L58" s="9"/>
      <c r="M58" s="9"/>
      <c r="N58" s="9"/>
      <c r="O58" s="9"/>
      <c r="P58" s="9"/>
      <c r="Q58" s="111"/>
      <c r="R58" s="106">
        <f>(Table15[[#This Row],[Commercial Bid Price per case for NOI ($)]]-Table15[[#This Row],[Pass-Thru Value per case ($)]])+Table15[[#This Row],[Region 1: Fixed Fee Per Case ($)]]</f>
        <v>0</v>
      </c>
      <c r="S58" s="128" t="e">
        <f>(Table15[[#This Row],[Commercial Bid Price per case for NOI ($)]]+Table15[[#This Row],[Region 1: Fixed Fee Per Case ($)]])/Table15[[#This Row],['# of CN Servings per case]]</f>
        <v>#DIV/0!</v>
      </c>
      <c r="T58" s="120" t="e">
        <f>Table15[[#This Row],[Total Cost Per Serving (N+O)/I]]*Table15[[#This Row],[Estimated Servings Annual]]</f>
        <v>#DIV/0!</v>
      </c>
      <c r="U58" s="106">
        <f>(Table15[[#This Row],[Commercial Bid Price per case for NOI ($)]]-Table15[[#This Row],[Pass-Thru Value per case ($)]])+Table15[[#This Row],[Region 2: Fixed Fee Per Case ($)]]</f>
        <v>0</v>
      </c>
      <c r="V58" s="25" t="e">
        <f>(Table15[[#This Row],[Commercial Bid Price per case for NOI ($)]]+Table15[[#This Row],[Region 2: Fixed Fee Per Case ($)]])/Table15[[#This Row],['# of CN Servings per case]]</f>
        <v>#DIV/0!</v>
      </c>
      <c r="W58" s="23" t="e">
        <f>Table15[[#This Row],[Total Cost Per Serving (N+P)/I]]*Table15[[#This Row],[Estimated Servings Annual]]</f>
        <v>#DIV/0!</v>
      </c>
    </row>
    <row r="59" spans="1:23" x14ac:dyDescent="0.25">
      <c r="A59" s="39" t="s">
        <v>38</v>
      </c>
      <c r="B59" s="2" t="s">
        <v>46</v>
      </c>
      <c r="C59" s="3" t="s">
        <v>147</v>
      </c>
      <c r="D59" s="4"/>
      <c r="E59" s="4"/>
      <c r="F59" s="4"/>
      <c r="G59" s="4"/>
      <c r="H59" s="4"/>
      <c r="I59" s="4"/>
      <c r="J59" s="92">
        <v>300000</v>
      </c>
      <c r="K59" s="4"/>
      <c r="L59" s="4"/>
      <c r="M59" s="4"/>
      <c r="N59" s="4"/>
      <c r="O59" s="4"/>
      <c r="P59" s="4"/>
      <c r="Q59" s="109"/>
      <c r="R59" s="104">
        <f>(Table15[[#This Row],[Commercial Bid Price per case for NOI ($)]]-Table15[[#This Row],[Pass-Thru Value per case ($)]])+Table15[[#This Row],[Region 1: Fixed Fee Per Case ($)]]</f>
        <v>0</v>
      </c>
      <c r="S59" s="15" t="e">
        <f>(Table15[[#This Row],[Commercial Bid Price per case for NOI ($)]]+Table15[[#This Row],[Region 1: Fixed Fee Per Case ($)]])/Table15[[#This Row],['# of CN Servings per case]]</f>
        <v>#DIV/0!</v>
      </c>
      <c r="T59" s="115" t="e">
        <f>Table15[[#This Row],[Total Cost Per Serving (N+O)/I]]*Table15[[#This Row],[Estimated Servings Annual]]</f>
        <v>#DIV/0!</v>
      </c>
      <c r="U59" s="104">
        <f>(Table15[[#This Row],[Commercial Bid Price per case for NOI ($)]]-Table15[[#This Row],[Pass-Thru Value per case ($)]])+Table15[[#This Row],[Region 2: Fixed Fee Per Case ($)]]</f>
        <v>0</v>
      </c>
      <c r="V59" s="31" t="e">
        <f>(Table15[[#This Row],[Commercial Bid Price per case for NOI ($)]]+Table15[[#This Row],[Region 2: Fixed Fee Per Case ($)]])/Table15[[#This Row],['# of CN Servings per case]]</f>
        <v>#DIV/0!</v>
      </c>
      <c r="W59" s="17" t="e">
        <f>Table15[[#This Row],[Total Cost Per Serving (N+P)/I]]*Table15[[#This Row],[Estimated Servings Annual]]</f>
        <v>#DIV/0!</v>
      </c>
    </row>
    <row r="60" spans="1:23" x14ac:dyDescent="0.25">
      <c r="A60" s="39" t="s">
        <v>38</v>
      </c>
      <c r="B60" s="5" t="s">
        <v>46</v>
      </c>
      <c r="C60" s="6" t="s">
        <v>147</v>
      </c>
      <c r="D60" s="7"/>
      <c r="E60" s="7"/>
      <c r="F60" s="7"/>
      <c r="G60" s="7"/>
      <c r="H60" s="7"/>
      <c r="I60" s="7"/>
      <c r="J60" s="93">
        <v>300000</v>
      </c>
      <c r="K60" s="7"/>
      <c r="L60" s="7"/>
      <c r="M60" s="7"/>
      <c r="N60" s="7"/>
      <c r="O60" s="7"/>
      <c r="P60" s="7"/>
      <c r="Q60" s="110"/>
      <c r="R60" s="105">
        <f>(Table15[[#This Row],[Commercial Bid Price per case for NOI ($)]]-Table15[[#This Row],[Pass-Thru Value per case ($)]])+Table15[[#This Row],[Region 1: Fixed Fee Per Case ($)]]</f>
        <v>0</v>
      </c>
      <c r="S60" s="18" t="e">
        <f>(Table15[[#This Row],[Commercial Bid Price per case for NOI ($)]]+Table15[[#This Row],[Region 1: Fixed Fee Per Case ($)]])/Table15[[#This Row],['# of CN Servings per case]]</f>
        <v>#DIV/0!</v>
      </c>
      <c r="T60" s="118" t="e">
        <f>Table15[[#This Row],[Total Cost Per Serving (N+O)/I]]*Table15[[#This Row],[Estimated Servings Annual]]</f>
        <v>#DIV/0!</v>
      </c>
      <c r="U60" s="105">
        <f>(Table15[[#This Row],[Commercial Bid Price per case for NOI ($)]]-Table15[[#This Row],[Pass-Thru Value per case ($)]])+Table15[[#This Row],[Region 2: Fixed Fee Per Case ($)]]</f>
        <v>0</v>
      </c>
      <c r="V60" s="24" t="e">
        <f>(Table15[[#This Row],[Commercial Bid Price per case for NOI ($)]]+Table15[[#This Row],[Region 2: Fixed Fee Per Case ($)]])/Table15[[#This Row],['# of CN Servings per case]]</f>
        <v>#DIV/0!</v>
      </c>
      <c r="W60" s="20" t="e">
        <f>Table15[[#This Row],[Total Cost Per Serving (N+P)/I]]*Table15[[#This Row],[Estimated Servings Annual]]</f>
        <v>#DIV/0!</v>
      </c>
    </row>
    <row r="61" spans="1:23" x14ac:dyDescent="0.25">
      <c r="A61" s="39" t="s">
        <v>38</v>
      </c>
      <c r="B61" s="5" t="s">
        <v>46</v>
      </c>
      <c r="C61" s="6" t="s">
        <v>109</v>
      </c>
      <c r="D61" s="7"/>
      <c r="E61" s="7"/>
      <c r="F61" s="7"/>
      <c r="G61" s="7"/>
      <c r="H61" s="7"/>
      <c r="I61" s="7"/>
      <c r="J61" s="93">
        <v>300000</v>
      </c>
      <c r="K61" s="7"/>
      <c r="L61" s="7"/>
      <c r="M61" s="7"/>
      <c r="N61" s="7"/>
      <c r="O61" s="7"/>
      <c r="P61" s="7"/>
      <c r="Q61" s="110"/>
      <c r="R61" s="105">
        <f>(Table15[[#This Row],[Commercial Bid Price per case for NOI ($)]]-Table15[[#This Row],[Pass-Thru Value per case ($)]])+Table15[[#This Row],[Region 1: Fixed Fee Per Case ($)]]</f>
        <v>0</v>
      </c>
      <c r="S61" s="18" t="e">
        <f>(Table15[[#This Row],[Commercial Bid Price per case for NOI ($)]]+Table15[[#This Row],[Region 1: Fixed Fee Per Case ($)]])/Table15[[#This Row],['# of CN Servings per case]]</f>
        <v>#DIV/0!</v>
      </c>
      <c r="T61" s="118" t="e">
        <f>Table15[[#This Row],[Total Cost Per Serving (N+O)/I]]*Table15[[#This Row],[Estimated Servings Annual]]</f>
        <v>#DIV/0!</v>
      </c>
      <c r="U61" s="105">
        <f>(Table15[[#This Row],[Commercial Bid Price per case for NOI ($)]]-Table15[[#This Row],[Pass-Thru Value per case ($)]])+Table15[[#This Row],[Region 2: Fixed Fee Per Case ($)]]</f>
        <v>0</v>
      </c>
      <c r="V61" s="24" t="e">
        <f>(Table15[[#This Row],[Commercial Bid Price per case for NOI ($)]]+Table15[[#This Row],[Region 2: Fixed Fee Per Case ($)]])/Table15[[#This Row],['# of CN Servings per case]]</f>
        <v>#DIV/0!</v>
      </c>
      <c r="W61" s="20" t="e">
        <f>Table15[[#This Row],[Total Cost Per Serving (N+P)/I]]*Table15[[#This Row],[Estimated Servings Annual]]</f>
        <v>#DIV/0!</v>
      </c>
    </row>
    <row r="62" spans="1:23" x14ac:dyDescent="0.25">
      <c r="A62" s="39" t="s">
        <v>38</v>
      </c>
      <c r="B62" s="5" t="s">
        <v>46</v>
      </c>
      <c r="C62" s="6" t="s">
        <v>109</v>
      </c>
      <c r="D62" s="7"/>
      <c r="E62" s="7"/>
      <c r="F62" s="7"/>
      <c r="G62" s="7"/>
      <c r="H62" s="7"/>
      <c r="I62" s="7"/>
      <c r="J62" s="93">
        <v>300000</v>
      </c>
      <c r="K62" s="7"/>
      <c r="L62" s="7"/>
      <c r="M62" s="7"/>
      <c r="N62" s="7"/>
      <c r="O62" s="7"/>
      <c r="P62" s="7"/>
      <c r="Q62" s="110"/>
      <c r="R62" s="105">
        <f>(Table15[[#This Row],[Commercial Bid Price per case for NOI ($)]]-Table15[[#This Row],[Pass-Thru Value per case ($)]])+Table15[[#This Row],[Region 1: Fixed Fee Per Case ($)]]</f>
        <v>0</v>
      </c>
      <c r="S62" s="18" t="e">
        <f>(Table15[[#This Row],[Commercial Bid Price per case for NOI ($)]]+Table15[[#This Row],[Region 1: Fixed Fee Per Case ($)]])/Table15[[#This Row],['# of CN Servings per case]]</f>
        <v>#DIV/0!</v>
      </c>
      <c r="T62" s="118" t="e">
        <f>Table15[[#This Row],[Total Cost Per Serving (N+O)/I]]*Table15[[#This Row],[Estimated Servings Annual]]</f>
        <v>#DIV/0!</v>
      </c>
      <c r="U62" s="105">
        <f>(Table15[[#This Row],[Commercial Bid Price per case for NOI ($)]]-Table15[[#This Row],[Pass-Thru Value per case ($)]])+Table15[[#This Row],[Region 2: Fixed Fee Per Case ($)]]</f>
        <v>0</v>
      </c>
      <c r="V62" s="24" t="e">
        <f>(Table15[[#This Row],[Commercial Bid Price per case for NOI ($)]]+Table15[[#This Row],[Region 2: Fixed Fee Per Case ($)]])/Table15[[#This Row],['# of CN Servings per case]]</f>
        <v>#DIV/0!</v>
      </c>
      <c r="W62" s="20" t="e">
        <f>Table15[[#This Row],[Total Cost Per Serving (N+P)/I]]*Table15[[#This Row],[Estimated Servings Annual]]</f>
        <v>#DIV/0!</v>
      </c>
    </row>
    <row r="63" spans="1:23" x14ac:dyDescent="0.25">
      <c r="A63" s="39" t="s">
        <v>38</v>
      </c>
      <c r="B63" s="5" t="s">
        <v>46</v>
      </c>
      <c r="C63" s="7" t="s">
        <v>13</v>
      </c>
      <c r="D63" s="7"/>
      <c r="E63" s="7"/>
      <c r="F63" s="7"/>
      <c r="G63" s="7"/>
      <c r="H63" s="7"/>
      <c r="I63" s="7"/>
      <c r="J63" s="93">
        <v>300000</v>
      </c>
      <c r="K63" s="7"/>
      <c r="L63" s="7"/>
      <c r="M63" s="7"/>
      <c r="N63" s="7"/>
      <c r="O63" s="7"/>
      <c r="P63" s="7"/>
      <c r="Q63" s="110"/>
      <c r="R63" s="105">
        <f>(Table15[[#This Row],[Commercial Bid Price per case for NOI ($)]]-Table15[[#This Row],[Pass-Thru Value per case ($)]])+Table15[[#This Row],[Region 1: Fixed Fee Per Case ($)]]</f>
        <v>0</v>
      </c>
      <c r="S63" s="18" t="e">
        <f>(Table15[[#This Row],[Commercial Bid Price per case for NOI ($)]]+Table15[[#This Row],[Region 1: Fixed Fee Per Case ($)]])/Table15[[#This Row],['# of CN Servings per case]]</f>
        <v>#DIV/0!</v>
      </c>
      <c r="T63" s="118" t="e">
        <f>Table15[[#This Row],[Total Cost Per Serving (N+O)/I]]*Table15[[#This Row],[Estimated Servings Annual]]</f>
        <v>#DIV/0!</v>
      </c>
      <c r="U63" s="105">
        <f>(Table15[[#This Row],[Commercial Bid Price per case for NOI ($)]]-Table15[[#This Row],[Pass-Thru Value per case ($)]])+Table15[[#This Row],[Region 2: Fixed Fee Per Case ($)]]</f>
        <v>0</v>
      </c>
      <c r="V63" s="24" t="e">
        <f>(Table15[[#This Row],[Commercial Bid Price per case for NOI ($)]]+Table15[[#This Row],[Region 2: Fixed Fee Per Case ($)]])/Table15[[#This Row],['# of CN Servings per case]]</f>
        <v>#DIV/0!</v>
      </c>
      <c r="W63" s="20" t="e">
        <f>Table15[[#This Row],[Total Cost Per Serving (N+P)/I]]*Table15[[#This Row],[Estimated Servings Annual]]</f>
        <v>#DIV/0!</v>
      </c>
    </row>
    <row r="64" spans="1:23" x14ac:dyDescent="0.25">
      <c r="A64" s="39" t="s">
        <v>38</v>
      </c>
      <c r="B64" s="5" t="s">
        <v>46</v>
      </c>
      <c r="C64" s="7" t="s">
        <v>13</v>
      </c>
      <c r="D64" s="7"/>
      <c r="E64" s="7"/>
      <c r="F64" s="7"/>
      <c r="G64" s="7"/>
      <c r="H64" s="7"/>
      <c r="I64" s="7"/>
      <c r="J64" s="93">
        <v>300000</v>
      </c>
      <c r="K64" s="7"/>
      <c r="L64" s="7"/>
      <c r="M64" s="7"/>
      <c r="N64" s="7"/>
      <c r="O64" s="7"/>
      <c r="P64" s="7"/>
      <c r="Q64" s="110"/>
      <c r="R64" s="105">
        <f>(Table15[[#This Row],[Commercial Bid Price per case for NOI ($)]]-Table15[[#This Row],[Pass-Thru Value per case ($)]])+Table15[[#This Row],[Region 1: Fixed Fee Per Case ($)]]</f>
        <v>0</v>
      </c>
      <c r="S64" s="18" t="e">
        <f>(Table15[[#This Row],[Commercial Bid Price per case for NOI ($)]]+Table15[[#This Row],[Region 1: Fixed Fee Per Case ($)]])/Table15[[#This Row],['# of CN Servings per case]]</f>
        <v>#DIV/0!</v>
      </c>
      <c r="T64" s="118" t="e">
        <f>Table15[[#This Row],[Total Cost Per Serving (N+O)/I]]*Table15[[#This Row],[Estimated Servings Annual]]</f>
        <v>#DIV/0!</v>
      </c>
      <c r="U64" s="105">
        <f>(Table15[[#This Row],[Commercial Bid Price per case for NOI ($)]]-Table15[[#This Row],[Pass-Thru Value per case ($)]])+Table15[[#This Row],[Region 2: Fixed Fee Per Case ($)]]</f>
        <v>0</v>
      </c>
      <c r="V64" s="24" t="e">
        <f>(Table15[[#This Row],[Commercial Bid Price per case for NOI ($)]]+Table15[[#This Row],[Region 2: Fixed Fee Per Case ($)]])/Table15[[#This Row],['# of CN Servings per case]]</f>
        <v>#DIV/0!</v>
      </c>
      <c r="W64" s="20" t="e">
        <f>Table15[[#This Row],[Total Cost Per Serving (N+P)/I]]*Table15[[#This Row],[Estimated Servings Annual]]</f>
        <v>#DIV/0!</v>
      </c>
    </row>
    <row r="65" spans="1:23" x14ac:dyDescent="0.25">
      <c r="A65" s="39" t="s">
        <v>38</v>
      </c>
      <c r="B65" s="5" t="s">
        <v>46</v>
      </c>
      <c r="C65" s="7" t="s">
        <v>13</v>
      </c>
      <c r="D65" s="7"/>
      <c r="E65" s="7"/>
      <c r="F65" s="7"/>
      <c r="G65" s="7"/>
      <c r="H65" s="7"/>
      <c r="I65" s="7"/>
      <c r="J65" s="93">
        <v>300000</v>
      </c>
      <c r="K65" s="7"/>
      <c r="L65" s="7"/>
      <c r="M65" s="7"/>
      <c r="N65" s="7"/>
      <c r="O65" s="7"/>
      <c r="P65" s="7"/>
      <c r="Q65" s="110"/>
      <c r="R65" s="105">
        <f>(Table15[[#This Row],[Commercial Bid Price per case for NOI ($)]]-Table15[[#This Row],[Pass-Thru Value per case ($)]])+Table15[[#This Row],[Region 1: Fixed Fee Per Case ($)]]</f>
        <v>0</v>
      </c>
      <c r="S65" s="18" t="e">
        <f>(Table15[[#This Row],[Commercial Bid Price per case for NOI ($)]]+Table15[[#This Row],[Region 1: Fixed Fee Per Case ($)]])/Table15[[#This Row],['# of CN Servings per case]]</f>
        <v>#DIV/0!</v>
      </c>
      <c r="T65" s="118" t="e">
        <f>Table15[[#This Row],[Total Cost Per Serving (N+O)/I]]*Table15[[#This Row],[Estimated Servings Annual]]</f>
        <v>#DIV/0!</v>
      </c>
      <c r="U65" s="105">
        <f>(Table15[[#This Row],[Commercial Bid Price per case for NOI ($)]]-Table15[[#This Row],[Pass-Thru Value per case ($)]])+Table15[[#This Row],[Region 2: Fixed Fee Per Case ($)]]</f>
        <v>0</v>
      </c>
      <c r="V65" s="24" t="e">
        <f>(Table15[[#This Row],[Commercial Bid Price per case for NOI ($)]]+Table15[[#This Row],[Region 2: Fixed Fee Per Case ($)]])/Table15[[#This Row],['# of CN Servings per case]]</f>
        <v>#DIV/0!</v>
      </c>
      <c r="W65" s="20" t="e">
        <f>Table15[[#This Row],[Total Cost Per Serving (N+P)/I]]*Table15[[#This Row],[Estimated Servings Annual]]</f>
        <v>#DIV/0!</v>
      </c>
    </row>
    <row r="66" spans="1:23" ht="15.75" thickBot="1" x14ac:dyDescent="0.3">
      <c r="A66" s="40" t="s">
        <v>38</v>
      </c>
      <c r="B66" s="8" t="s">
        <v>46</v>
      </c>
      <c r="C66" s="9" t="s">
        <v>13</v>
      </c>
      <c r="D66" s="9"/>
      <c r="E66" s="9"/>
      <c r="F66" s="9"/>
      <c r="G66" s="9"/>
      <c r="H66" s="9"/>
      <c r="I66" s="9"/>
      <c r="J66" s="94">
        <v>300000</v>
      </c>
      <c r="K66" s="9"/>
      <c r="L66" s="9"/>
      <c r="M66" s="9"/>
      <c r="N66" s="9"/>
      <c r="O66" s="9"/>
      <c r="P66" s="9"/>
      <c r="Q66" s="111"/>
      <c r="R66" s="106">
        <f>(Table15[[#This Row],[Commercial Bid Price per case for NOI ($)]]-Table15[[#This Row],[Pass-Thru Value per case ($)]])+Table15[[#This Row],[Region 1: Fixed Fee Per Case ($)]]</f>
        <v>0</v>
      </c>
      <c r="S66" s="21" t="e">
        <f>(Table15[[#This Row],[Commercial Bid Price per case for NOI ($)]]+Table15[[#This Row],[Region 1: Fixed Fee Per Case ($)]])/Table15[[#This Row],['# of CN Servings per case]]</f>
        <v>#DIV/0!</v>
      </c>
      <c r="T66" s="120" t="e">
        <f>Table15[[#This Row],[Total Cost Per Serving (N+O)/I]]*Table15[[#This Row],[Estimated Servings Annual]]</f>
        <v>#DIV/0!</v>
      </c>
      <c r="U66" s="106">
        <f>(Table15[[#This Row],[Commercial Bid Price per case for NOI ($)]]-Table15[[#This Row],[Pass-Thru Value per case ($)]])+Table15[[#This Row],[Region 2: Fixed Fee Per Case ($)]]</f>
        <v>0</v>
      </c>
      <c r="V66" s="25" t="e">
        <f>(Table15[[#This Row],[Commercial Bid Price per case for NOI ($)]]+Table15[[#This Row],[Region 2: Fixed Fee Per Case ($)]])/Table15[[#This Row],['# of CN Servings per case]]</f>
        <v>#DIV/0!</v>
      </c>
      <c r="W66" s="23" t="e">
        <f>Table15[[#This Row],[Total Cost Per Serving (N+P)/I]]*Table15[[#This Row],[Estimated Servings Annual]]</f>
        <v>#DIV/0!</v>
      </c>
    </row>
    <row r="67" spans="1:23" x14ac:dyDescent="0.25">
      <c r="A67" s="39" t="s">
        <v>38</v>
      </c>
      <c r="B67" s="2" t="s">
        <v>47</v>
      </c>
      <c r="C67" s="3" t="s">
        <v>147</v>
      </c>
      <c r="D67" s="4"/>
      <c r="E67" s="4"/>
      <c r="F67" s="4"/>
      <c r="G67" s="4"/>
      <c r="H67" s="4"/>
      <c r="I67" s="4"/>
      <c r="J67" s="92">
        <v>950000</v>
      </c>
      <c r="K67" s="4"/>
      <c r="L67" s="4"/>
      <c r="M67" s="4"/>
      <c r="N67" s="4"/>
      <c r="O67" s="4"/>
      <c r="P67" s="4"/>
      <c r="Q67" s="109"/>
      <c r="R67" s="104">
        <f>(Table15[[#This Row],[Commercial Bid Price per case for NOI ($)]]-Table15[[#This Row],[Pass-Thru Value per case ($)]])+Table15[[#This Row],[Region 1: Fixed Fee Per Case ($)]]</f>
        <v>0</v>
      </c>
      <c r="S67" s="15" t="e">
        <f>(Table15[[#This Row],[Commercial Bid Price per case for NOI ($)]]+Table15[[#This Row],[Region 1: Fixed Fee Per Case ($)]])/Table15[[#This Row],['# of CN Servings per case]]</f>
        <v>#DIV/0!</v>
      </c>
      <c r="T67" s="115" t="e">
        <f>Table15[[#This Row],[Total Cost Per Serving (N+O)/I]]*Table15[[#This Row],[Estimated Servings Annual]]</f>
        <v>#DIV/0!</v>
      </c>
      <c r="U67" s="104">
        <f>(Table15[[#This Row],[Commercial Bid Price per case for NOI ($)]]-Table15[[#This Row],[Pass-Thru Value per case ($)]])+Table15[[#This Row],[Region 2: Fixed Fee Per Case ($)]]</f>
        <v>0</v>
      </c>
      <c r="V67" s="31" t="e">
        <f>(Table15[[#This Row],[Commercial Bid Price per case for NOI ($)]]+Table15[[#This Row],[Region 2: Fixed Fee Per Case ($)]])/Table15[[#This Row],['# of CN Servings per case]]</f>
        <v>#DIV/0!</v>
      </c>
      <c r="W67" s="17" t="e">
        <f>Table15[[#This Row],[Total Cost Per Serving (N+P)/I]]*Table15[[#This Row],[Estimated Servings Annual]]</f>
        <v>#DIV/0!</v>
      </c>
    </row>
    <row r="68" spans="1:23" x14ac:dyDescent="0.25">
      <c r="A68" s="39" t="s">
        <v>38</v>
      </c>
      <c r="B68" s="5" t="s">
        <v>47</v>
      </c>
      <c r="C68" s="6" t="s">
        <v>147</v>
      </c>
      <c r="D68" s="7"/>
      <c r="E68" s="7"/>
      <c r="F68" s="7"/>
      <c r="G68" s="7"/>
      <c r="H68" s="7"/>
      <c r="I68" s="7"/>
      <c r="J68" s="93">
        <v>950000</v>
      </c>
      <c r="K68" s="7"/>
      <c r="L68" s="7"/>
      <c r="M68" s="7"/>
      <c r="N68" s="7"/>
      <c r="O68" s="7"/>
      <c r="P68" s="7"/>
      <c r="Q68" s="110"/>
      <c r="R68" s="105">
        <f>(Table15[[#This Row],[Commercial Bid Price per case for NOI ($)]]-Table15[[#This Row],[Pass-Thru Value per case ($)]])+Table15[[#This Row],[Region 1: Fixed Fee Per Case ($)]]</f>
        <v>0</v>
      </c>
      <c r="S68" s="18" t="e">
        <f>(Table15[[#This Row],[Commercial Bid Price per case for NOI ($)]]+Table15[[#This Row],[Region 1: Fixed Fee Per Case ($)]])/Table15[[#This Row],['# of CN Servings per case]]</f>
        <v>#DIV/0!</v>
      </c>
      <c r="T68" s="118" t="e">
        <f>Table15[[#This Row],[Total Cost Per Serving (N+O)/I]]*Table15[[#This Row],[Estimated Servings Annual]]</f>
        <v>#DIV/0!</v>
      </c>
      <c r="U68" s="105">
        <f>(Table15[[#This Row],[Commercial Bid Price per case for NOI ($)]]-Table15[[#This Row],[Pass-Thru Value per case ($)]])+Table15[[#This Row],[Region 2: Fixed Fee Per Case ($)]]</f>
        <v>0</v>
      </c>
      <c r="V68" s="24" t="e">
        <f>(Table15[[#This Row],[Commercial Bid Price per case for NOI ($)]]+Table15[[#This Row],[Region 2: Fixed Fee Per Case ($)]])/Table15[[#This Row],['# of CN Servings per case]]</f>
        <v>#DIV/0!</v>
      </c>
      <c r="W68" s="20" t="e">
        <f>Table15[[#This Row],[Total Cost Per Serving (N+P)/I]]*Table15[[#This Row],[Estimated Servings Annual]]</f>
        <v>#DIV/0!</v>
      </c>
    </row>
    <row r="69" spans="1:23" x14ac:dyDescent="0.25">
      <c r="A69" s="39" t="s">
        <v>38</v>
      </c>
      <c r="B69" s="5" t="s">
        <v>47</v>
      </c>
      <c r="C69" s="6" t="s">
        <v>109</v>
      </c>
      <c r="D69" s="7"/>
      <c r="E69" s="7"/>
      <c r="F69" s="7"/>
      <c r="G69" s="7"/>
      <c r="H69" s="7"/>
      <c r="I69" s="7"/>
      <c r="J69" s="93">
        <v>950000</v>
      </c>
      <c r="K69" s="7"/>
      <c r="L69" s="7"/>
      <c r="M69" s="7"/>
      <c r="N69" s="7"/>
      <c r="O69" s="7"/>
      <c r="P69" s="7"/>
      <c r="Q69" s="110"/>
      <c r="R69" s="105">
        <f>(Table15[[#This Row],[Commercial Bid Price per case for NOI ($)]]-Table15[[#This Row],[Pass-Thru Value per case ($)]])+Table15[[#This Row],[Region 1: Fixed Fee Per Case ($)]]</f>
        <v>0</v>
      </c>
      <c r="S69" s="18" t="e">
        <f>(Table15[[#This Row],[Commercial Bid Price per case for NOI ($)]]+Table15[[#This Row],[Region 1: Fixed Fee Per Case ($)]])/Table15[[#This Row],['# of CN Servings per case]]</f>
        <v>#DIV/0!</v>
      </c>
      <c r="T69" s="118" t="e">
        <f>Table15[[#This Row],[Total Cost Per Serving (N+O)/I]]*Table15[[#This Row],[Estimated Servings Annual]]</f>
        <v>#DIV/0!</v>
      </c>
      <c r="U69" s="105">
        <f>(Table15[[#This Row],[Commercial Bid Price per case for NOI ($)]]-Table15[[#This Row],[Pass-Thru Value per case ($)]])+Table15[[#This Row],[Region 2: Fixed Fee Per Case ($)]]</f>
        <v>0</v>
      </c>
      <c r="V69" s="24" t="e">
        <f>(Table15[[#This Row],[Commercial Bid Price per case for NOI ($)]]+Table15[[#This Row],[Region 2: Fixed Fee Per Case ($)]])/Table15[[#This Row],['# of CN Servings per case]]</f>
        <v>#DIV/0!</v>
      </c>
      <c r="W69" s="20" t="e">
        <f>Table15[[#This Row],[Total Cost Per Serving (N+P)/I]]*Table15[[#This Row],[Estimated Servings Annual]]</f>
        <v>#DIV/0!</v>
      </c>
    </row>
    <row r="70" spans="1:23" x14ac:dyDescent="0.25">
      <c r="A70" s="39" t="s">
        <v>38</v>
      </c>
      <c r="B70" s="5" t="s">
        <v>47</v>
      </c>
      <c r="C70" s="6" t="s">
        <v>109</v>
      </c>
      <c r="D70" s="7"/>
      <c r="E70" s="7"/>
      <c r="F70" s="7"/>
      <c r="G70" s="7"/>
      <c r="H70" s="7"/>
      <c r="I70" s="7"/>
      <c r="J70" s="93">
        <v>950000</v>
      </c>
      <c r="K70" s="7"/>
      <c r="L70" s="7"/>
      <c r="M70" s="7"/>
      <c r="N70" s="7"/>
      <c r="O70" s="7"/>
      <c r="P70" s="7"/>
      <c r="Q70" s="110"/>
      <c r="R70" s="105">
        <f>(Table15[[#This Row],[Commercial Bid Price per case for NOI ($)]]-Table15[[#This Row],[Pass-Thru Value per case ($)]])+Table15[[#This Row],[Region 1: Fixed Fee Per Case ($)]]</f>
        <v>0</v>
      </c>
      <c r="S70" s="18" t="e">
        <f>(Table15[[#This Row],[Commercial Bid Price per case for NOI ($)]]+Table15[[#This Row],[Region 1: Fixed Fee Per Case ($)]])/Table15[[#This Row],['# of CN Servings per case]]</f>
        <v>#DIV/0!</v>
      </c>
      <c r="T70" s="118" t="e">
        <f>Table15[[#This Row],[Total Cost Per Serving (N+O)/I]]*Table15[[#This Row],[Estimated Servings Annual]]</f>
        <v>#DIV/0!</v>
      </c>
      <c r="U70" s="105">
        <f>(Table15[[#This Row],[Commercial Bid Price per case for NOI ($)]]-Table15[[#This Row],[Pass-Thru Value per case ($)]])+Table15[[#This Row],[Region 2: Fixed Fee Per Case ($)]]</f>
        <v>0</v>
      </c>
      <c r="V70" s="24" t="e">
        <f>(Table15[[#This Row],[Commercial Bid Price per case for NOI ($)]]+Table15[[#This Row],[Region 2: Fixed Fee Per Case ($)]])/Table15[[#This Row],['# of CN Servings per case]]</f>
        <v>#DIV/0!</v>
      </c>
      <c r="W70" s="20" t="e">
        <f>Table15[[#This Row],[Total Cost Per Serving (N+P)/I]]*Table15[[#This Row],[Estimated Servings Annual]]</f>
        <v>#DIV/0!</v>
      </c>
    </row>
    <row r="71" spans="1:23" x14ac:dyDescent="0.25">
      <c r="A71" s="39" t="s">
        <v>38</v>
      </c>
      <c r="B71" s="5" t="s">
        <v>47</v>
      </c>
      <c r="C71" s="7" t="s">
        <v>13</v>
      </c>
      <c r="D71" s="7"/>
      <c r="E71" s="7"/>
      <c r="F71" s="7"/>
      <c r="G71" s="7"/>
      <c r="H71" s="7"/>
      <c r="I71" s="7"/>
      <c r="J71" s="93">
        <v>950000</v>
      </c>
      <c r="K71" s="7"/>
      <c r="L71" s="7"/>
      <c r="M71" s="7"/>
      <c r="N71" s="7"/>
      <c r="O71" s="7"/>
      <c r="P71" s="7"/>
      <c r="Q71" s="110"/>
      <c r="R71" s="105">
        <f>(Table15[[#This Row],[Commercial Bid Price per case for NOI ($)]]-Table15[[#This Row],[Pass-Thru Value per case ($)]])+Table15[[#This Row],[Region 1: Fixed Fee Per Case ($)]]</f>
        <v>0</v>
      </c>
      <c r="S71" s="18" t="e">
        <f>(Table15[[#This Row],[Commercial Bid Price per case for NOI ($)]]+Table15[[#This Row],[Region 1: Fixed Fee Per Case ($)]])/Table15[[#This Row],['# of CN Servings per case]]</f>
        <v>#DIV/0!</v>
      </c>
      <c r="T71" s="118" t="e">
        <f>Table15[[#This Row],[Total Cost Per Serving (N+O)/I]]*Table15[[#This Row],[Estimated Servings Annual]]</f>
        <v>#DIV/0!</v>
      </c>
      <c r="U71" s="105">
        <f>(Table15[[#This Row],[Commercial Bid Price per case for NOI ($)]]-Table15[[#This Row],[Pass-Thru Value per case ($)]])+Table15[[#This Row],[Region 2: Fixed Fee Per Case ($)]]</f>
        <v>0</v>
      </c>
      <c r="V71" s="24" t="e">
        <f>(Table15[[#This Row],[Commercial Bid Price per case for NOI ($)]]+Table15[[#This Row],[Region 2: Fixed Fee Per Case ($)]])/Table15[[#This Row],['# of CN Servings per case]]</f>
        <v>#DIV/0!</v>
      </c>
      <c r="W71" s="20" t="e">
        <f>Table15[[#This Row],[Total Cost Per Serving (N+P)/I]]*Table15[[#This Row],[Estimated Servings Annual]]</f>
        <v>#DIV/0!</v>
      </c>
    </row>
    <row r="72" spans="1:23" x14ac:dyDescent="0.25">
      <c r="A72" s="39" t="s">
        <v>38</v>
      </c>
      <c r="B72" s="5" t="s">
        <v>47</v>
      </c>
      <c r="C72" s="7" t="s">
        <v>13</v>
      </c>
      <c r="D72" s="7"/>
      <c r="E72" s="7"/>
      <c r="F72" s="7"/>
      <c r="G72" s="7"/>
      <c r="H72" s="7"/>
      <c r="I72" s="7"/>
      <c r="J72" s="93">
        <v>950000</v>
      </c>
      <c r="K72" s="7"/>
      <c r="L72" s="7"/>
      <c r="M72" s="7"/>
      <c r="N72" s="7"/>
      <c r="O72" s="7"/>
      <c r="P72" s="7"/>
      <c r="Q72" s="110"/>
      <c r="R72" s="105">
        <f>(Table15[[#This Row],[Commercial Bid Price per case for NOI ($)]]-Table15[[#This Row],[Pass-Thru Value per case ($)]])+Table15[[#This Row],[Region 1: Fixed Fee Per Case ($)]]</f>
        <v>0</v>
      </c>
      <c r="S72" s="18" t="e">
        <f>(Table15[[#This Row],[Commercial Bid Price per case for NOI ($)]]+Table15[[#This Row],[Region 1: Fixed Fee Per Case ($)]])/Table15[[#This Row],['# of CN Servings per case]]</f>
        <v>#DIV/0!</v>
      </c>
      <c r="T72" s="118" t="e">
        <f>Table15[[#This Row],[Total Cost Per Serving (N+O)/I]]*Table15[[#This Row],[Estimated Servings Annual]]</f>
        <v>#DIV/0!</v>
      </c>
      <c r="U72" s="105">
        <f>(Table15[[#This Row],[Commercial Bid Price per case for NOI ($)]]-Table15[[#This Row],[Pass-Thru Value per case ($)]])+Table15[[#This Row],[Region 2: Fixed Fee Per Case ($)]]</f>
        <v>0</v>
      </c>
      <c r="V72" s="24" t="e">
        <f>(Table15[[#This Row],[Commercial Bid Price per case for NOI ($)]]+Table15[[#This Row],[Region 2: Fixed Fee Per Case ($)]])/Table15[[#This Row],['# of CN Servings per case]]</f>
        <v>#DIV/0!</v>
      </c>
      <c r="W72" s="20" t="e">
        <f>Table15[[#This Row],[Total Cost Per Serving (N+P)/I]]*Table15[[#This Row],[Estimated Servings Annual]]</f>
        <v>#DIV/0!</v>
      </c>
    </row>
    <row r="73" spans="1:23" x14ac:dyDescent="0.25">
      <c r="A73" s="39" t="s">
        <v>38</v>
      </c>
      <c r="B73" s="5" t="s">
        <v>47</v>
      </c>
      <c r="C73" s="7" t="s">
        <v>13</v>
      </c>
      <c r="D73" s="7"/>
      <c r="E73" s="7"/>
      <c r="F73" s="7"/>
      <c r="G73" s="7"/>
      <c r="H73" s="7"/>
      <c r="I73" s="7"/>
      <c r="J73" s="93">
        <v>950000</v>
      </c>
      <c r="K73" s="7"/>
      <c r="L73" s="7"/>
      <c r="M73" s="7"/>
      <c r="N73" s="7"/>
      <c r="O73" s="7"/>
      <c r="P73" s="7"/>
      <c r="Q73" s="110"/>
      <c r="R73" s="105">
        <f>(Table15[[#This Row],[Commercial Bid Price per case for NOI ($)]]-Table15[[#This Row],[Pass-Thru Value per case ($)]])+Table15[[#This Row],[Region 1: Fixed Fee Per Case ($)]]</f>
        <v>0</v>
      </c>
      <c r="S73" s="18" t="e">
        <f>(Table15[[#This Row],[Commercial Bid Price per case for NOI ($)]]+Table15[[#This Row],[Region 1: Fixed Fee Per Case ($)]])/Table15[[#This Row],['# of CN Servings per case]]</f>
        <v>#DIV/0!</v>
      </c>
      <c r="T73" s="118" t="e">
        <f>Table15[[#This Row],[Total Cost Per Serving (N+O)/I]]*Table15[[#This Row],[Estimated Servings Annual]]</f>
        <v>#DIV/0!</v>
      </c>
      <c r="U73" s="105">
        <f>(Table15[[#This Row],[Commercial Bid Price per case for NOI ($)]]-Table15[[#This Row],[Pass-Thru Value per case ($)]])+Table15[[#This Row],[Region 2: Fixed Fee Per Case ($)]]</f>
        <v>0</v>
      </c>
      <c r="V73" s="24" t="e">
        <f>(Table15[[#This Row],[Commercial Bid Price per case for NOI ($)]]+Table15[[#This Row],[Region 2: Fixed Fee Per Case ($)]])/Table15[[#This Row],['# of CN Servings per case]]</f>
        <v>#DIV/0!</v>
      </c>
      <c r="W73" s="20" t="e">
        <f>Table15[[#This Row],[Total Cost Per Serving (N+P)/I]]*Table15[[#This Row],[Estimated Servings Annual]]</f>
        <v>#DIV/0!</v>
      </c>
    </row>
    <row r="74" spans="1:23" ht="15.75" thickBot="1" x14ac:dyDescent="0.3">
      <c r="A74" s="40" t="s">
        <v>38</v>
      </c>
      <c r="B74" s="8" t="s">
        <v>47</v>
      </c>
      <c r="C74" s="9" t="s">
        <v>13</v>
      </c>
      <c r="D74" s="9"/>
      <c r="E74" s="9"/>
      <c r="F74" s="9"/>
      <c r="G74" s="9"/>
      <c r="H74" s="9"/>
      <c r="I74" s="9"/>
      <c r="J74" s="94">
        <v>950000</v>
      </c>
      <c r="K74" s="9"/>
      <c r="L74" s="9"/>
      <c r="M74" s="9"/>
      <c r="N74" s="9"/>
      <c r="O74" s="9"/>
      <c r="P74" s="9"/>
      <c r="Q74" s="111"/>
      <c r="R74" s="106">
        <f>(Table15[[#This Row],[Commercial Bid Price per case for NOI ($)]]-Table15[[#This Row],[Pass-Thru Value per case ($)]])+Table15[[#This Row],[Region 1: Fixed Fee Per Case ($)]]</f>
        <v>0</v>
      </c>
      <c r="S74" s="21" t="e">
        <f>(Table15[[#This Row],[Commercial Bid Price per case for NOI ($)]]+Table15[[#This Row],[Region 1: Fixed Fee Per Case ($)]])/Table15[[#This Row],['# of CN Servings per case]]</f>
        <v>#DIV/0!</v>
      </c>
      <c r="T74" s="120" t="e">
        <f>Table15[[#This Row],[Total Cost Per Serving (N+O)/I]]*Table15[[#This Row],[Estimated Servings Annual]]</f>
        <v>#DIV/0!</v>
      </c>
      <c r="U74" s="106">
        <f>(Table15[[#This Row],[Commercial Bid Price per case for NOI ($)]]-Table15[[#This Row],[Pass-Thru Value per case ($)]])+Table15[[#This Row],[Region 2: Fixed Fee Per Case ($)]]</f>
        <v>0</v>
      </c>
      <c r="V74" s="25" t="e">
        <f>(Table15[[#This Row],[Commercial Bid Price per case for NOI ($)]]+Table15[[#This Row],[Region 2: Fixed Fee Per Case ($)]])/Table15[[#This Row],['# of CN Servings per case]]</f>
        <v>#DIV/0!</v>
      </c>
      <c r="W74" s="23" t="e">
        <f>Table15[[#This Row],[Total Cost Per Serving (N+P)/I]]*Table15[[#This Row],[Estimated Servings Annual]]</f>
        <v>#DIV/0!</v>
      </c>
    </row>
  </sheetData>
  <mergeCells count="3">
    <mergeCell ref="E1:G1"/>
    <mergeCell ref="R1:T1"/>
    <mergeCell ref="U1:W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2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V3" sqref="V3"/>
    </sheetView>
  </sheetViews>
  <sheetFormatPr defaultRowHeight="15" x14ac:dyDescent="0.25"/>
  <cols>
    <col min="1" max="1" width="16" customWidth="1"/>
    <col min="2" max="2" width="28.42578125" style="1" customWidth="1"/>
    <col min="3" max="3" width="22.140625" bestFit="1" customWidth="1"/>
    <col min="4" max="4" width="21.7109375" customWidth="1"/>
    <col min="5" max="5" width="33.7109375" customWidth="1"/>
    <col min="6" max="6" width="18" customWidth="1"/>
    <col min="7" max="7" width="18.140625" customWidth="1"/>
    <col min="8" max="8" width="18" customWidth="1"/>
    <col min="9" max="9" width="16.42578125" customWidth="1"/>
    <col min="10" max="10" width="16.7109375" style="90" customWidth="1"/>
    <col min="11" max="11" width="20.42578125" customWidth="1"/>
    <col min="12" max="12" width="18.7109375" customWidth="1"/>
    <col min="13" max="13" width="16" customWidth="1"/>
    <col min="14" max="14" width="14" customWidth="1"/>
    <col min="15" max="15" width="19.42578125" customWidth="1"/>
    <col min="16" max="16" width="17.42578125" customWidth="1"/>
    <col min="17" max="17" width="18.5703125" customWidth="1"/>
    <col min="18" max="19" width="17.7109375" customWidth="1"/>
    <col min="20" max="20" width="14.5703125" customWidth="1"/>
    <col min="21" max="22" width="17.7109375" customWidth="1"/>
    <col min="23" max="23" width="14.5703125" customWidth="1"/>
  </cols>
  <sheetData>
    <row r="1" spans="1:23" x14ac:dyDescent="0.25">
      <c r="D1" s="1" t="s">
        <v>149</v>
      </c>
      <c r="E1" s="137" t="str">
        <f>Instructions!A2</f>
        <v xml:space="preserve"> </v>
      </c>
      <c r="F1" s="137"/>
      <c r="G1" s="137"/>
      <c r="R1" s="134" t="s">
        <v>167</v>
      </c>
      <c r="S1" s="135"/>
      <c r="T1" s="136"/>
      <c r="U1" s="134" t="s">
        <v>168</v>
      </c>
      <c r="V1" s="135"/>
      <c r="W1" s="136"/>
    </row>
    <row r="2" spans="1:23" s="1" customFormat="1" ht="60.75" thickBot="1" x14ac:dyDescent="0.3">
      <c r="A2" s="1" t="s">
        <v>14</v>
      </c>
      <c r="B2" s="1" t="s">
        <v>3</v>
      </c>
      <c r="C2" s="1" t="s">
        <v>23</v>
      </c>
      <c r="D2" s="1" t="s">
        <v>154</v>
      </c>
      <c r="E2" s="1" t="s">
        <v>0</v>
      </c>
      <c r="F2" s="1" t="s">
        <v>4</v>
      </c>
      <c r="G2" s="1" t="s">
        <v>20</v>
      </c>
      <c r="H2" s="1" t="s">
        <v>1</v>
      </c>
      <c r="I2" s="1" t="s">
        <v>5</v>
      </c>
      <c r="J2" s="91" t="s">
        <v>6</v>
      </c>
      <c r="K2" s="1" t="s">
        <v>2</v>
      </c>
      <c r="L2" s="1" t="s">
        <v>21</v>
      </c>
      <c r="M2" s="71" t="s">
        <v>153</v>
      </c>
      <c r="N2" s="1" t="s">
        <v>22</v>
      </c>
      <c r="O2" s="1" t="s">
        <v>165</v>
      </c>
      <c r="P2" s="1" t="s">
        <v>166</v>
      </c>
      <c r="Q2" s="1" t="s">
        <v>19</v>
      </c>
      <c r="R2" s="101" t="s">
        <v>162</v>
      </c>
      <c r="S2" s="102" t="s">
        <v>163</v>
      </c>
      <c r="T2" s="103" t="s">
        <v>171</v>
      </c>
      <c r="U2" s="101" t="s">
        <v>169</v>
      </c>
      <c r="V2" s="102" t="s">
        <v>170</v>
      </c>
      <c r="W2" s="103" t="s">
        <v>172</v>
      </c>
    </row>
    <row r="3" spans="1:23" ht="30" x14ac:dyDescent="0.25">
      <c r="A3" s="37" t="s">
        <v>107</v>
      </c>
      <c r="B3" s="42" t="s">
        <v>48</v>
      </c>
      <c r="C3" s="3" t="s">
        <v>152</v>
      </c>
      <c r="D3" s="4"/>
      <c r="E3" s="4"/>
      <c r="F3" s="4"/>
      <c r="G3" s="4"/>
      <c r="H3" s="4"/>
      <c r="I3" s="4"/>
      <c r="J3" s="92">
        <v>500000</v>
      </c>
      <c r="K3" s="4"/>
      <c r="L3" s="4"/>
      <c r="M3" s="4"/>
      <c r="N3" s="4"/>
      <c r="O3" s="4"/>
      <c r="P3" s="4"/>
      <c r="Q3" s="109"/>
      <c r="R3" s="104">
        <f>(Table156[[#This Row],[Commercial Bid Price per case for NOI ($)]]-Table156[[#This Row],[Pass-Thru Value per case ($)]])+Table156[[#This Row],[Region 1: Fixed Fee Per Case ($)]]</f>
        <v>0</v>
      </c>
      <c r="S3" s="15" t="e">
        <f>(Table156[[#This Row],[Commercial Bid Price per case for NOI ($)]]+Table156[[#This Row],[Region 1: Fixed Fee Per Case ($)]])/Table156[[#This Row],['# of CN Servings per case]]</f>
        <v>#DIV/0!</v>
      </c>
      <c r="T3" s="115" t="e">
        <f>Table156[[#This Row],[Total Cost Per Serving (N+O)/I]]*Table156[[#This Row],[Estimated Servings Annual]]</f>
        <v>#DIV/0!</v>
      </c>
      <c r="U3" s="104">
        <f>(Table156[[#This Row],[Commercial Bid Price per case for NOI ($)]]-Table156[[#This Row],[Pass-Thru Value per case ($)]])+Table156[[#This Row],[Region 2: Fixed Fee Per Case ($)]]</f>
        <v>0</v>
      </c>
      <c r="V3" s="16" t="e">
        <f>(Table156[[#This Row],[Commercial Bid Price per case for NOI ($)]]+Table156[[#This Row],[Region 2: Fixed Fee Per Case ($)]])/Table156[[#This Row],['# of CN Servings per case]]</f>
        <v>#DIV/0!</v>
      </c>
      <c r="W3" s="17" t="e">
        <f>Table156[[#This Row],[Total Cost Per Serving (N+P)/I]]*Table156[[#This Row],[Estimated Servings Annual]]</f>
        <v>#DIV/0!</v>
      </c>
    </row>
    <row r="4" spans="1:23" ht="30" x14ac:dyDescent="0.25">
      <c r="A4" s="38" t="s">
        <v>107</v>
      </c>
      <c r="B4" s="43" t="s">
        <v>48</v>
      </c>
      <c r="C4" s="28" t="s">
        <v>152</v>
      </c>
      <c r="D4" s="29"/>
      <c r="E4" s="7"/>
      <c r="F4" s="7"/>
      <c r="G4" s="7"/>
      <c r="H4" s="7"/>
      <c r="I4" s="7"/>
      <c r="J4" s="93">
        <v>500000</v>
      </c>
      <c r="K4" s="7"/>
      <c r="L4" s="7"/>
      <c r="M4" s="7"/>
      <c r="N4" s="7"/>
      <c r="O4" s="7"/>
      <c r="P4" s="7"/>
      <c r="Q4" s="110"/>
      <c r="R4" s="105">
        <f>(Table156[[#This Row],[Commercial Bid Price per case for NOI ($)]]-Table156[[#This Row],[Pass-Thru Value per case ($)]])+Table156[[#This Row],[Region 1: Fixed Fee Per Case ($)]]</f>
        <v>0</v>
      </c>
      <c r="S4" s="18" t="e">
        <f>(Table156[[#This Row],[Commercial Bid Price per case for NOI ($)]]+Table156[[#This Row],[Region 1: Fixed Fee Per Case ($)]])/Table156[[#This Row],['# of CN Servings per case]]</f>
        <v>#DIV/0!</v>
      </c>
      <c r="T4" s="118" t="e">
        <f>Table156[[#This Row],[Total Cost Per Serving (N+O)/I]]*Table156[[#This Row],[Estimated Servings Annual]]</f>
        <v>#DIV/0!</v>
      </c>
      <c r="U4" s="105">
        <f>(Table156[[#This Row],[Commercial Bid Price per case for NOI ($)]]-Table156[[#This Row],[Pass-Thru Value per case ($)]])+Table156[[#This Row],[Region 2: Fixed Fee Per Case ($)]]</f>
        <v>0</v>
      </c>
      <c r="V4" s="19" t="e">
        <f>(Table156[[#This Row],[Commercial Bid Price per case for NOI ($)]]+Table156[[#This Row],[Region 2: Fixed Fee Per Case ($)]])/Table156[[#This Row],['# of CN Servings per case]]</f>
        <v>#DIV/0!</v>
      </c>
      <c r="W4" s="20" t="e">
        <f>Table156[[#This Row],[Total Cost Per Serving (N+P)/I]]*Table156[[#This Row],[Estimated Servings Annual]]</f>
        <v>#DIV/0!</v>
      </c>
    </row>
    <row r="5" spans="1:23" ht="30" x14ac:dyDescent="0.25">
      <c r="A5" s="38" t="s">
        <v>107</v>
      </c>
      <c r="B5" s="43" t="s">
        <v>48</v>
      </c>
      <c r="C5" s="6" t="s">
        <v>51</v>
      </c>
      <c r="D5" s="7"/>
      <c r="E5" s="7"/>
      <c r="F5" s="7"/>
      <c r="G5" s="7"/>
      <c r="H5" s="7"/>
      <c r="I5" s="7"/>
      <c r="J5" s="93">
        <v>500000</v>
      </c>
      <c r="K5" s="7"/>
      <c r="L5" s="7"/>
      <c r="M5" s="7"/>
      <c r="N5" s="7"/>
      <c r="O5" s="7"/>
      <c r="P5" s="7"/>
      <c r="Q5" s="110"/>
      <c r="R5" s="105">
        <f>(Table156[[#This Row],[Commercial Bid Price per case for NOI ($)]]-Table156[[#This Row],[Pass-Thru Value per case ($)]])+Table156[[#This Row],[Region 1: Fixed Fee Per Case ($)]]</f>
        <v>0</v>
      </c>
      <c r="S5" s="18" t="e">
        <f>(Table156[[#This Row],[Commercial Bid Price per case for NOI ($)]]+Table156[[#This Row],[Region 1: Fixed Fee Per Case ($)]])/Table156[[#This Row],['# of CN Servings per case]]</f>
        <v>#DIV/0!</v>
      </c>
      <c r="T5" s="118" t="e">
        <f>Table156[[#This Row],[Total Cost Per Serving (N+O)/I]]*Table156[[#This Row],[Estimated Servings Annual]]</f>
        <v>#DIV/0!</v>
      </c>
      <c r="U5" s="105">
        <f>(Table156[[#This Row],[Commercial Bid Price per case for NOI ($)]]-Table156[[#This Row],[Pass-Thru Value per case ($)]])+Table156[[#This Row],[Region 2: Fixed Fee Per Case ($)]]</f>
        <v>0</v>
      </c>
      <c r="V5" s="19" t="e">
        <f>(Table156[[#This Row],[Commercial Bid Price per case for NOI ($)]]+Table156[[#This Row],[Region 2: Fixed Fee Per Case ($)]])/Table156[[#This Row],['# of CN Servings per case]]</f>
        <v>#DIV/0!</v>
      </c>
      <c r="W5" s="20" t="e">
        <f>Table156[[#This Row],[Total Cost Per Serving (N+P)/I]]*Table156[[#This Row],[Estimated Servings Annual]]</f>
        <v>#DIV/0!</v>
      </c>
    </row>
    <row r="6" spans="1:23" ht="30" x14ac:dyDescent="0.25">
      <c r="A6" s="38" t="s">
        <v>107</v>
      </c>
      <c r="B6" s="43" t="s">
        <v>48</v>
      </c>
      <c r="C6" s="6" t="s">
        <v>51</v>
      </c>
      <c r="D6" s="7"/>
      <c r="E6" s="7"/>
      <c r="F6" s="7"/>
      <c r="G6" s="7"/>
      <c r="H6" s="7"/>
      <c r="I6" s="7"/>
      <c r="J6" s="93">
        <v>500000</v>
      </c>
      <c r="K6" s="7"/>
      <c r="L6" s="7"/>
      <c r="M6" s="7"/>
      <c r="N6" s="7"/>
      <c r="O6" s="7"/>
      <c r="P6" s="7"/>
      <c r="Q6" s="110"/>
      <c r="R6" s="105">
        <f>(Table156[[#This Row],[Commercial Bid Price per case for NOI ($)]]-Table156[[#This Row],[Pass-Thru Value per case ($)]])+Table156[[#This Row],[Region 1: Fixed Fee Per Case ($)]]</f>
        <v>0</v>
      </c>
      <c r="S6" s="18" t="e">
        <f>(Table156[[#This Row],[Commercial Bid Price per case for NOI ($)]]+Table156[[#This Row],[Region 1: Fixed Fee Per Case ($)]])/Table156[[#This Row],['# of CN Servings per case]]</f>
        <v>#DIV/0!</v>
      </c>
      <c r="T6" s="118" t="e">
        <f>Table156[[#This Row],[Total Cost Per Serving (N+O)/I]]*Table156[[#This Row],[Estimated Servings Annual]]</f>
        <v>#DIV/0!</v>
      </c>
      <c r="U6" s="105">
        <f>(Table156[[#This Row],[Commercial Bid Price per case for NOI ($)]]-Table156[[#This Row],[Pass-Thru Value per case ($)]])+Table156[[#This Row],[Region 2: Fixed Fee Per Case ($)]]</f>
        <v>0</v>
      </c>
      <c r="V6" s="19" t="e">
        <f>(Table156[[#This Row],[Commercial Bid Price per case for NOI ($)]]+Table156[[#This Row],[Region 2: Fixed Fee Per Case ($)]])/Table156[[#This Row],['# of CN Servings per case]]</f>
        <v>#DIV/0!</v>
      </c>
      <c r="W6" s="20" t="e">
        <f>Table156[[#This Row],[Total Cost Per Serving (N+P)/I]]*Table156[[#This Row],[Estimated Servings Annual]]</f>
        <v>#DIV/0!</v>
      </c>
    </row>
    <row r="7" spans="1:23" ht="30" x14ac:dyDescent="0.25">
      <c r="A7" s="38" t="s">
        <v>107</v>
      </c>
      <c r="B7" s="43" t="s">
        <v>48</v>
      </c>
      <c r="C7" s="6" t="s">
        <v>52</v>
      </c>
      <c r="D7" s="7"/>
      <c r="E7" s="7"/>
      <c r="F7" s="7"/>
      <c r="G7" s="7"/>
      <c r="H7" s="7"/>
      <c r="I7" s="7"/>
      <c r="J7" s="93">
        <v>500000</v>
      </c>
      <c r="K7" s="7"/>
      <c r="L7" s="7"/>
      <c r="M7" s="7"/>
      <c r="N7" s="7"/>
      <c r="O7" s="7"/>
      <c r="P7" s="7"/>
      <c r="Q7" s="110"/>
      <c r="R7" s="105">
        <f>(Table156[[#This Row],[Commercial Bid Price per case for NOI ($)]]-Table156[[#This Row],[Pass-Thru Value per case ($)]])+Table156[[#This Row],[Region 1: Fixed Fee Per Case ($)]]</f>
        <v>0</v>
      </c>
      <c r="S7" s="18" t="e">
        <f>(Table156[[#This Row],[Commercial Bid Price per case for NOI ($)]]+Table156[[#This Row],[Region 1: Fixed Fee Per Case ($)]])/Table156[[#This Row],['# of CN Servings per case]]</f>
        <v>#DIV/0!</v>
      </c>
      <c r="T7" s="118" t="e">
        <f>Table156[[#This Row],[Total Cost Per Serving (N+O)/I]]*Table156[[#This Row],[Estimated Servings Annual]]</f>
        <v>#DIV/0!</v>
      </c>
      <c r="U7" s="105">
        <f>(Table156[[#This Row],[Commercial Bid Price per case for NOI ($)]]-Table156[[#This Row],[Pass-Thru Value per case ($)]])+Table156[[#This Row],[Region 2: Fixed Fee Per Case ($)]]</f>
        <v>0</v>
      </c>
      <c r="V7" s="19" t="e">
        <f>(Table156[[#This Row],[Commercial Bid Price per case for NOI ($)]]+Table156[[#This Row],[Region 2: Fixed Fee Per Case ($)]])/Table156[[#This Row],['# of CN Servings per case]]</f>
        <v>#DIV/0!</v>
      </c>
      <c r="W7" s="20" t="e">
        <f>Table156[[#This Row],[Total Cost Per Serving (N+P)/I]]*Table156[[#This Row],[Estimated Servings Annual]]</f>
        <v>#DIV/0!</v>
      </c>
    </row>
    <row r="8" spans="1:23" ht="30" x14ac:dyDescent="0.25">
      <c r="A8" s="38" t="s">
        <v>107</v>
      </c>
      <c r="B8" s="43" t="s">
        <v>48</v>
      </c>
      <c r="C8" s="6" t="s">
        <v>52</v>
      </c>
      <c r="D8" s="7"/>
      <c r="E8" s="7"/>
      <c r="F8" s="7"/>
      <c r="G8" s="7"/>
      <c r="H8" s="7"/>
      <c r="I8" s="7"/>
      <c r="J8" s="93">
        <v>500000</v>
      </c>
      <c r="K8" s="7"/>
      <c r="L8" s="7"/>
      <c r="M8" s="7"/>
      <c r="N8" s="7"/>
      <c r="O8" s="7"/>
      <c r="P8" s="7"/>
      <c r="Q8" s="110"/>
      <c r="R8" s="105">
        <f>(Table156[[#This Row],[Commercial Bid Price per case for NOI ($)]]-Table156[[#This Row],[Pass-Thru Value per case ($)]])+Table156[[#This Row],[Region 1: Fixed Fee Per Case ($)]]</f>
        <v>0</v>
      </c>
      <c r="S8" s="18" t="e">
        <f>(Table156[[#This Row],[Commercial Bid Price per case for NOI ($)]]+Table156[[#This Row],[Region 1: Fixed Fee Per Case ($)]])/Table156[[#This Row],['# of CN Servings per case]]</f>
        <v>#DIV/0!</v>
      </c>
      <c r="T8" s="118" t="e">
        <f>Table156[[#This Row],[Total Cost Per Serving (N+O)/I]]*Table156[[#This Row],[Estimated Servings Annual]]</f>
        <v>#DIV/0!</v>
      </c>
      <c r="U8" s="105">
        <f>(Table156[[#This Row],[Commercial Bid Price per case for NOI ($)]]-Table156[[#This Row],[Pass-Thru Value per case ($)]])+Table156[[#This Row],[Region 2: Fixed Fee Per Case ($)]]</f>
        <v>0</v>
      </c>
      <c r="V8" s="19" t="e">
        <f>(Table156[[#This Row],[Commercial Bid Price per case for NOI ($)]]+Table156[[#This Row],[Region 2: Fixed Fee Per Case ($)]])/Table156[[#This Row],['# of CN Servings per case]]</f>
        <v>#DIV/0!</v>
      </c>
      <c r="W8" s="20" t="e">
        <f>Table156[[#This Row],[Total Cost Per Serving (N+P)/I]]*Table156[[#This Row],[Estimated Servings Annual]]</f>
        <v>#DIV/0!</v>
      </c>
    </row>
    <row r="9" spans="1:23" ht="30" x14ac:dyDescent="0.25">
      <c r="A9" s="38" t="s">
        <v>107</v>
      </c>
      <c r="B9" s="43" t="s">
        <v>48</v>
      </c>
      <c r="C9" s="7" t="s">
        <v>13</v>
      </c>
      <c r="D9" s="7"/>
      <c r="E9" s="7"/>
      <c r="F9" s="7"/>
      <c r="G9" s="7"/>
      <c r="H9" s="7"/>
      <c r="I9" s="7"/>
      <c r="J9" s="93">
        <v>500000</v>
      </c>
      <c r="K9" s="7"/>
      <c r="L9" s="7"/>
      <c r="M9" s="7"/>
      <c r="N9" s="7"/>
      <c r="O9" s="7"/>
      <c r="P9" s="7"/>
      <c r="Q9" s="110"/>
      <c r="R9" s="105">
        <f>(Table156[[#This Row],[Commercial Bid Price per case for NOI ($)]]-Table156[[#This Row],[Pass-Thru Value per case ($)]])+Table156[[#This Row],[Region 1: Fixed Fee Per Case ($)]]</f>
        <v>0</v>
      </c>
      <c r="S9" s="18" t="e">
        <f>(Table156[[#This Row],[Commercial Bid Price per case for NOI ($)]]+Table156[[#This Row],[Region 1: Fixed Fee Per Case ($)]])/Table156[[#This Row],['# of CN Servings per case]]</f>
        <v>#DIV/0!</v>
      </c>
      <c r="T9" s="118" t="e">
        <f>Table156[[#This Row],[Total Cost Per Serving (N+O)/I]]*Table156[[#This Row],[Estimated Servings Annual]]</f>
        <v>#DIV/0!</v>
      </c>
      <c r="U9" s="105">
        <f>(Table156[[#This Row],[Commercial Bid Price per case for NOI ($)]]-Table156[[#This Row],[Pass-Thru Value per case ($)]])+Table156[[#This Row],[Region 2: Fixed Fee Per Case ($)]]</f>
        <v>0</v>
      </c>
      <c r="V9" s="19" t="e">
        <f>(Table156[[#This Row],[Commercial Bid Price per case for NOI ($)]]+Table156[[#This Row],[Region 2: Fixed Fee Per Case ($)]])/Table156[[#This Row],['# of CN Servings per case]]</f>
        <v>#DIV/0!</v>
      </c>
      <c r="W9" s="20" t="e">
        <f>Table156[[#This Row],[Total Cost Per Serving (N+P)/I]]*Table156[[#This Row],[Estimated Servings Annual]]</f>
        <v>#DIV/0!</v>
      </c>
    </row>
    <row r="10" spans="1:23" ht="30" x14ac:dyDescent="0.25">
      <c r="A10" s="38" t="s">
        <v>107</v>
      </c>
      <c r="B10" s="43" t="s">
        <v>48</v>
      </c>
      <c r="C10" s="7" t="s">
        <v>13</v>
      </c>
      <c r="D10" s="7"/>
      <c r="E10" s="7"/>
      <c r="F10" s="7"/>
      <c r="G10" s="7"/>
      <c r="H10" s="7"/>
      <c r="I10" s="7"/>
      <c r="J10" s="93">
        <v>500000</v>
      </c>
      <c r="K10" s="7"/>
      <c r="L10" s="7"/>
      <c r="M10" s="7"/>
      <c r="N10" s="7"/>
      <c r="O10" s="7"/>
      <c r="P10" s="7"/>
      <c r="Q10" s="110"/>
      <c r="R10" s="105">
        <f>(Table156[[#This Row],[Commercial Bid Price per case for NOI ($)]]-Table156[[#This Row],[Pass-Thru Value per case ($)]])+Table156[[#This Row],[Region 1: Fixed Fee Per Case ($)]]</f>
        <v>0</v>
      </c>
      <c r="S10" s="18" t="e">
        <f>(Table156[[#This Row],[Commercial Bid Price per case for NOI ($)]]+Table156[[#This Row],[Region 1: Fixed Fee Per Case ($)]])/Table156[[#This Row],['# of CN Servings per case]]</f>
        <v>#DIV/0!</v>
      </c>
      <c r="T10" s="118" t="e">
        <f>Table156[[#This Row],[Total Cost Per Serving (N+O)/I]]*Table156[[#This Row],[Estimated Servings Annual]]</f>
        <v>#DIV/0!</v>
      </c>
      <c r="U10" s="105">
        <f>(Table156[[#This Row],[Commercial Bid Price per case for NOI ($)]]-Table156[[#This Row],[Pass-Thru Value per case ($)]])+Table156[[#This Row],[Region 2: Fixed Fee Per Case ($)]]</f>
        <v>0</v>
      </c>
      <c r="V10" s="19" t="e">
        <f>(Table156[[#This Row],[Commercial Bid Price per case for NOI ($)]]+Table156[[#This Row],[Region 2: Fixed Fee Per Case ($)]])/Table156[[#This Row],['# of CN Servings per case]]</f>
        <v>#DIV/0!</v>
      </c>
      <c r="W10" s="20" t="e">
        <f>Table156[[#This Row],[Total Cost Per Serving (N+P)/I]]*Table156[[#This Row],[Estimated Servings Annual]]</f>
        <v>#DIV/0!</v>
      </c>
    </row>
    <row r="11" spans="1:23" ht="30" x14ac:dyDescent="0.25">
      <c r="A11" s="38" t="s">
        <v>107</v>
      </c>
      <c r="B11" s="43" t="s">
        <v>48</v>
      </c>
      <c r="C11" s="7" t="s">
        <v>13</v>
      </c>
      <c r="D11" s="7"/>
      <c r="E11" s="7"/>
      <c r="F11" s="7"/>
      <c r="G11" s="7"/>
      <c r="H11" s="7"/>
      <c r="I11" s="7"/>
      <c r="J11" s="93">
        <v>500000</v>
      </c>
      <c r="K11" s="7"/>
      <c r="L11" s="7"/>
      <c r="M11" s="7"/>
      <c r="N11" s="7"/>
      <c r="O11" s="7"/>
      <c r="P11" s="7"/>
      <c r="Q11" s="110"/>
      <c r="R11" s="105">
        <f>(Table156[[#This Row],[Commercial Bid Price per case for NOI ($)]]-Table156[[#This Row],[Pass-Thru Value per case ($)]])+Table156[[#This Row],[Region 1: Fixed Fee Per Case ($)]]</f>
        <v>0</v>
      </c>
      <c r="S11" s="18" t="e">
        <f>(Table156[[#This Row],[Commercial Bid Price per case for NOI ($)]]+Table156[[#This Row],[Region 1: Fixed Fee Per Case ($)]])/Table156[[#This Row],['# of CN Servings per case]]</f>
        <v>#DIV/0!</v>
      </c>
      <c r="T11" s="118" t="e">
        <f>Table156[[#This Row],[Total Cost Per Serving (N+O)/I]]*Table156[[#This Row],[Estimated Servings Annual]]</f>
        <v>#DIV/0!</v>
      </c>
      <c r="U11" s="105">
        <f>(Table156[[#This Row],[Commercial Bid Price per case for NOI ($)]]-Table156[[#This Row],[Pass-Thru Value per case ($)]])+Table156[[#This Row],[Region 2: Fixed Fee Per Case ($)]]</f>
        <v>0</v>
      </c>
      <c r="V11" s="19" t="e">
        <f>(Table156[[#This Row],[Commercial Bid Price per case for NOI ($)]]+Table156[[#This Row],[Region 2: Fixed Fee Per Case ($)]])/Table156[[#This Row],['# of CN Servings per case]]</f>
        <v>#DIV/0!</v>
      </c>
      <c r="W11" s="20" t="e">
        <f>Table156[[#This Row],[Total Cost Per Serving (N+P)/I]]*Table156[[#This Row],[Estimated Servings Annual]]</f>
        <v>#DIV/0!</v>
      </c>
    </row>
    <row r="12" spans="1:23" ht="30.75" thickBot="1" x14ac:dyDescent="0.3">
      <c r="A12" s="38" t="s">
        <v>107</v>
      </c>
      <c r="B12" s="44" t="s">
        <v>48</v>
      </c>
      <c r="C12" s="9" t="s">
        <v>13</v>
      </c>
      <c r="D12" s="9"/>
      <c r="E12" s="9"/>
      <c r="F12" s="9"/>
      <c r="G12" s="9"/>
      <c r="H12" s="9"/>
      <c r="I12" s="9"/>
      <c r="J12" s="94">
        <v>500000</v>
      </c>
      <c r="K12" s="9"/>
      <c r="L12" s="9"/>
      <c r="M12" s="9"/>
      <c r="N12" s="9"/>
      <c r="O12" s="9"/>
      <c r="P12" s="9"/>
      <c r="Q12" s="111"/>
      <c r="R12" s="106">
        <f>(Table156[[#This Row],[Commercial Bid Price per case for NOI ($)]]-Table156[[#This Row],[Pass-Thru Value per case ($)]])+Table156[[#This Row],[Region 1: Fixed Fee Per Case ($)]]</f>
        <v>0</v>
      </c>
      <c r="S12" s="21" t="e">
        <f>(Table156[[#This Row],[Commercial Bid Price per case for NOI ($)]]+Table156[[#This Row],[Region 1: Fixed Fee Per Case ($)]])/Table156[[#This Row],['# of CN Servings per case]]</f>
        <v>#DIV/0!</v>
      </c>
      <c r="T12" s="120" t="e">
        <f>Table156[[#This Row],[Total Cost Per Serving (N+O)/I]]*Table156[[#This Row],[Estimated Servings Annual]]</f>
        <v>#DIV/0!</v>
      </c>
      <c r="U12" s="106">
        <f>(Table156[[#This Row],[Commercial Bid Price per case for NOI ($)]]-Table156[[#This Row],[Pass-Thru Value per case ($)]])+Table156[[#This Row],[Region 2: Fixed Fee Per Case ($)]]</f>
        <v>0</v>
      </c>
      <c r="V12" s="22" t="e">
        <f>(Table156[[#This Row],[Commercial Bid Price per case for NOI ($)]]+Table156[[#This Row],[Region 2: Fixed Fee Per Case ($)]])/Table156[[#This Row],['# of CN Servings per case]]</f>
        <v>#DIV/0!</v>
      </c>
      <c r="W12" s="23" t="e">
        <f>Table156[[#This Row],[Total Cost Per Serving (N+P)/I]]*Table156[[#This Row],[Estimated Servings Annual]]</f>
        <v>#DIV/0!</v>
      </c>
    </row>
    <row r="13" spans="1:23" ht="30" x14ac:dyDescent="0.25">
      <c r="A13" s="38" t="s">
        <v>107</v>
      </c>
      <c r="B13" s="42" t="s">
        <v>49</v>
      </c>
      <c r="C13" s="3" t="s">
        <v>152</v>
      </c>
      <c r="D13" s="4"/>
      <c r="E13" s="4"/>
      <c r="F13" s="4"/>
      <c r="G13" s="4"/>
      <c r="H13" s="4"/>
      <c r="I13" s="4"/>
      <c r="J13" s="92">
        <v>150000</v>
      </c>
      <c r="K13" s="4"/>
      <c r="L13" s="4"/>
      <c r="M13" s="4"/>
      <c r="N13" s="4"/>
      <c r="O13" s="4"/>
      <c r="P13" s="4"/>
      <c r="Q13" s="109"/>
      <c r="R13" s="104">
        <f>(Table156[[#This Row],[Commercial Bid Price per case for NOI ($)]]-Table156[[#This Row],[Pass-Thru Value per case ($)]])+Table156[[#This Row],[Region 1: Fixed Fee Per Case ($)]]</f>
        <v>0</v>
      </c>
      <c r="S13" s="15" t="e">
        <f>(Table156[[#This Row],[Commercial Bid Price per case for NOI ($)]]+Table156[[#This Row],[Region 1: Fixed Fee Per Case ($)]])/Table156[[#This Row],['# of CN Servings per case]]</f>
        <v>#DIV/0!</v>
      </c>
      <c r="T13" s="115" t="e">
        <f>Table156[[#This Row],[Total Cost Per Serving (N+O)/I]]*Table156[[#This Row],[Estimated Servings Annual]]</f>
        <v>#DIV/0!</v>
      </c>
      <c r="U13" s="104">
        <f>(Table156[[#This Row],[Commercial Bid Price per case for NOI ($)]]-Table156[[#This Row],[Pass-Thru Value per case ($)]])+Table156[[#This Row],[Region 2: Fixed Fee Per Case ($)]]</f>
        <v>0</v>
      </c>
      <c r="V13" s="31" t="e">
        <f>(Table156[[#This Row],[Commercial Bid Price per case for NOI ($)]]+Table156[[#This Row],[Region 2: Fixed Fee Per Case ($)]])/Table156[[#This Row],['# of CN Servings per case]]</f>
        <v>#DIV/0!</v>
      </c>
      <c r="W13" s="17" t="e">
        <f>Table156[[#This Row],[Total Cost Per Serving (N+P)/I]]*Table156[[#This Row],[Estimated Servings Annual]]</f>
        <v>#DIV/0!</v>
      </c>
    </row>
    <row r="14" spans="1:23" ht="30" x14ac:dyDescent="0.25">
      <c r="A14" s="38" t="s">
        <v>107</v>
      </c>
      <c r="B14" s="43" t="s">
        <v>49</v>
      </c>
      <c r="C14" s="28" t="s">
        <v>152</v>
      </c>
      <c r="D14" s="29"/>
      <c r="E14" s="7"/>
      <c r="F14" s="7"/>
      <c r="G14" s="7"/>
      <c r="H14" s="7"/>
      <c r="I14" s="7"/>
      <c r="J14" s="93">
        <v>150000</v>
      </c>
      <c r="K14" s="7"/>
      <c r="L14" s="7"/>
      <c r="M14" s="7"/>
      <c r="N14" s="7"/>
      <c r="O14" s="7"/>
      <c r="P14" s="7"/>
      <c r="Q14" s="110"/>
      <c r="R14" s="105">
        <f>(Table156[[#This Row],[Commercial Bid Price per case for NOI ($)]]-Table156[[#This Row],[Pass-Thru Value per case ($)]])+Table156[[#This Row],[Region 1: Fixed Fee Per Case ($)]]</f>
        <v>0</v>
      </c>
      <c r="S14" s="18" t="e">
        <f>(Table156[[#This Row],[Commercial Bid Price per case for NOI ($)]]+Table156[[#This Row],[Region 1: Fixed Fee Per Case ($)]])/Table156[[#This Row],['# of CN Servings per case]]</f>
        <v>#DIV/0!</v>
      </c>
      <c r="T14" s="118" t="e">
        <f>Table156[[#This Row],[Total Cost Per Serving (N+O)/I]]*Table156[[#This Row],[Estimated Servings Annual]]</f>
        <v>#DIV/0!</v>
      </c>
      <c r="U14" s="105">
        <f>(Table156[[#This Row],[Commercial Bid Price per case for NOI ($)]]-Table156[[#This Row],[Pass-Thru Value per case ($)]])+Table156[[#This Row],[Region 2: Fixed Fee Per Case ($)]]</f>
        <v>0</v>
      </c>
      <c r="V14" s="24" t="e">
        <f>(Table156[[#This Row],[Commercial Bid Price per case for NOI ($)]]+Table156[[#This Row],[Region 2: Fixed Fee Per Case ($)]])/Table156[[#This Row],['# of CN Servings per case]]</f>
        <v>#DIV/0!</v>
      </c>
      <c r="W14" s="20" t="e">
        <f>Table156[[#This Row],[Total Cost Per Serving (N+P)/I]]*Table156[[#This Row],[Estimated Servings Annual]]</f>
        <v>#DIV/0!</v>
      </c>
    </row>
    <row r="15" spans="1:23" ht="30" x14ac:dyDescent="0.25">
      <c r="A15" s="38" t="s">
        <v>107</v>
      </c>
      <c r="B15" s="43" t="s">
        <v>49</v>
      </c>
      <c r="C15" s="6" t="s">
        <v>51</v>
      </c>
      <c r="D15" s="7"/>
      <c r="E15" s="7"/>
      <c r="F15" s="7"/>
      <c r="G15" s="7"/>
      <c r="H15" s="7"/>
      <c r="I15" s="7"/>
      <c r="J15" s="93">
        <v>150000</v>
      </c>
      <c r="K15" s="7"/>
      <c r="L15" s="7"/>
      <c r="M15" s="7"/>
      <c r="N15" s="7"/>
      <c r="O15" s="7"/>
      <c r="P15" s="7"/>
      <c r="Q15" s="110"/>
      <c r="R15" s="105">
        <f>(Table156[[#This Row],[Commercial Bid Price per case for NOI ($)]]-Table156[[#This Row],[Pass-Thru Value per case ($)]])+Table156[[#This Row],[Region 1: Fixed Fee Per Case ($)]]</f>
        <v>0</v>
      </c>
      <c r="S15" s="18" t="e">
        <f>(Table156[[#This Row],[Commercial Bid Price per case for NOI ($)]]+Table156[[#This Row],[Region 1: Fixed Fee Per Case ($)]])/Table156[[#This Row],['# of CN Servings per case]]</f>
        <v>#DIV/0!</v>
      </c>
      <c r="T15" s="118" t="e">
        <f>Table156[[#This Row],[Total Cost Per Serving (N+O)/I]]*Table156[[#This Row],[Estimated Servings Annual]]</f>
        <v>#DIV/0!</v>
      </c>
      <c r="U15" s="105">
        <f>(Table156[[#This Row],[Commercial Bid Price per case for NOI ($)]]-Table156[[#This Row],[Pass-Thru Value per case ($)]])+Table156[[#This Row],[Region 2: Fixed Fee Per Case ($)]]</f>
        <v>0</v>
      </c>
      <c r="V15" s="24" t="e">
        <f>(Table156[[#This Row],[Commercial Bid Price per case for NOI ($)]]+Table156[[#This Row],[Region 2: Fixed Fee Per Case ($)]])/Table156[[#This Row],['# of CN Servings per case]]</f>
        <v>#DIV/0!</v>
      </c>
      <c r="W15" s="20" t="e">
        <f>Table156[[#This Row],[Total Cost Per Serving (N+P)/I]]*Table156[[#This Row],[Estimated Servings Annual]]</f>
        <v>#DIV/0!</v>
      </c>
    </row>
    <row r="16" spans="1:23" ht="30" x14ac:dyDescent="0.25">
      <c r="A16" s="38" t="s">
        <v>107</v>
      </c>
      <c r="B16" s="43" t="s">
        <v>49</v>
      </c>
      <c r="C16" s="6" t="s">
        <v>51</v>
      </c>
      <c r="D16" s="7"/>
      <c r="E16" s="7"/>
      <c r="F16" s="7"/>
      <c r="G16" s="7"/>
      <c r="H16" s="7"/>
      <c r="I16" s="7"/>
      <c r="J16" s="93">
        <v>150000</v>
      </c>
      <c r="K16" s="7"/>
      <c r="L16" s="7"/>
      <c r="M16" s="7"/>
      <c r="N16" s="7"/>
      <c r="O16" s="7"/>
      <c r="P16" s="7"/>
      <c r="Q16" s="110"/>
      <c r="R16" s="105">
        <f>(Table156[[#This Row],[Commercial Bid Price per case for NOI ($)]]-Table156[[#This Row],[Pass-Thru Value per case ($)]])+Table156[[#This Row],[Region 1: Fixed Fee Per Case ($)]]</f>
        <v>0</v>
      </c>
      <c r="S16" s="18" t="e">
        <f>(Table156[[#This Row],[Commercial Bid Price per case for NOI ($)]]+Table156[[#This Row],[Region 1: Fixed Fee Per Case ($)]])/Table156[[#This Row],['# of CN Servings per case]]</f>
        <v>#DIV/0!</v>
      </c>
      <c r="T16" s="118" t="e">
        <f>Table156[[#This Row],[Total Cost Per Serving (N+O)/I]]*Table156[[#This Row],[Estimated Servings Annual]]</f>
        <v>#DIV/0!</v>
      </c>
      <c r="U16" s="105">
        <f>(Table156[[#This Row],[Commercial Bid Price per case for NOI ($)]]-Table156[[#This Row],[Pass-Thru Value per case ($)]])+Table156[[#This Row],[Region 2: Fixed Fee Per Case ($)]]</f>
        <v>0</v>
      </c>
      <c r="V16" s="24" t="e">
        <f>(Table156[[#This Row],[Commercial Bid Price per case for NOI ($)]]+Table156[[#This Row],[Region 2: Fixed Fee Per Case ($)]])/Table156[[#This Row],['# of CN Servings per case]]</f>
        <v>#DIV/0!</v>
      </c>
      <c r="W16" s="20" t="e">
        <f>Table156[[#This Row],[Total Cost Per Serving (N+P)/I]]*Table156[[#This Row],[Estimated Servings Annual]]</f>
        <v>#DIV/0!</v>
      </c>
    </row>
    <row r="17" spans="1:23" ht="30" x14ac:dyDescent="0.25">
      <c r="A17" s="38" t="s">
        <v>107</v>
      </c>
      <c r="B17" s="43" t="s">
        <v>49</v>
      </c>
      <c r="C17" s="6" t="s">
        <v>52</v>
      </c>
      <c r="D17" s="7"/>
      <c r="E17" s="7"/>
      <c r="F17" s="7"/>
      <c r="G17" s="7"/>
      <c r="H17" s="7"/>
      <c r="I17" s="7"/>
      <c r="J17" s="93">
        <v>150000</v>
      </c>
      <c r="K17" s="7"/>
      <c r="L17" s="7"/>
      <c r="M17" s="7"/>
      <c r="N17" s="7"/>
      <c r="O17" s="7"/>
      <c r="P17" s="7"/>
      <c r="Q17" s="110"/>
      <c r="R17" s="105">
        <f>(Table156[[#This Row],[Commercial Bid Price per case for NOI ($)]]-Table156[[#This Row],[Pass-Thru Value per case ($)]])+Table156[[#This Row],[Region 1: Fixed Fee Per Case ($)]]</f>
        <v>0</v>
      </c>
      <c r="S17" s="18" t="e">
        <f>(Table156[[#This Row],[Commercial Bid Price per case for NOI ($)]]+Table156[[#This Row],[Region 1: Fixed Fee Per Case ($)]])/Table156[[#This Row],['# of CN Servings per case]]</f>
        <v>#DIV/0!</v>
      </c>
      <c r="T17" s="118" t="e">
        <f>Table156[[#This Row],[Total Cost Per Serving (N+O)/I]]*Table156[[#This Row],[Estimated Servings Annual]]</f>
        <v>#DIV/0!</v>
      </c>
      <c r="U17" s="105">
        <f>(Table156[[#This Row],[Commercial Bid Price per case for NOI ($)]]-Table156[[#This Row],[Pass-Thru Value per case ($)]])+Table156[[#This Row],[Region 2: Fixed Fee Per Case ($)]]</f>
        <v>0</v>
      </c>
      <c r="V17" s="24" t="e">
        <f>(Table156[[#This Row],[Commercial Bid Price per case for NOI ($)]]+Table156[[#This Row],[Region 2: Fixed Fee Per Case ($)]])/Table156[[#This Row],['# of CN Servings per case]]</f>
        <v>#DIV/0!</v>
      </c>
      <c r="W17" s="20" t="e">
        <f>Table156[[#This Row],[Total Cost Per Serving (N+P)/I]]*Table156[[#This Row],[Estimated Servings Annual]]</f>
        <v>#DIV/0!</v>
      </c>
    </row>
    <row r="18" spans="1:23" ht="30" x14ac:dyDescent="0.25">
      <c r="A18" s="38" t="s">
        <v>107</v>
      </c>
      <c r="B18" s="43" t="s">
        <v>49</v>
      </c>
      <c r="C18" s="6" t="s">
        <v>52</v>
      </c>
      <c r="D18" s="7"/>
      <c r="E18" s="7"/>
      <c r="F18" s="7"/>
      <c r="G18" s="7"/>
      <c r="H18" s="7"/>
      <c r="I18" s="7"/>
      <c r="J18" s="93">
        <v>150000</v>
      </c>
      <c r="K18" s="7"/>
      <c r="L18" s="7"/>
      <c r="M18" s="7"/>
      <c r="N18" s="7"/>
      <c r="O18" s="7"/>
      <c r="P18" s="7"/>
      <c r="Q18" s="110"/>
      <c r="R18" s="105">
        <f>(Table156[[#This Row],[Commercial Bid Price per case for NOI ($)]]-Table156[[#This Row],[Pass-Thru Value per case ($)]])+Table156[[#This Row],[Region 1: Fixed Fee Per Case ($)]]</f>
        <v>0</v>
      </c>
      <c r="S18" s="18" t="e">
        <f>(Table156[[#This Row],[Commercial Bid Price per case for NOI ($)]]+Table156[[#This Row],[Region 1: Fixed Fee Per Case ($)]])/Table156[[#This Row],['# of CN Servings per case]]</f>
        <v>#DIV/0!</v>
      </c>
      <c r="T18" s="118" t="e">
        <f>Table156[[#This Row],[Total Cost Per Serving (N+O)/I]]*Table156[[#This Row],[Estimated Servings Annual]]</f>
        <v>#DIV/0!</v>
      </c>
      <c r="U18" s="105">
        <f>(Table156[[#This Row],[Commercial Bid Price per case for NOI ($)]]-Table156[[#This Row],[Pass-Thru Value per case ($)]])+Table156[[#This Row],[Region 2: Fixed Fee Per Case ($)]]</f>
        <v>0</v>
      </c>
      <c r="V18" s="24" t="e">
        <f>(Table156[[#This Row],[Commercial Bid Price per case for NOI ($)]]+Table156[[#This Row],[Region 2: Fixed Fee Per Case ($)]])/Table156[[#This Row],['# of CN Servings per case]]</f>
        <v>#DIV/0!</v>
      </c>
      <c r="W18" s="20" t="e">
        <f>Table156[[#This Row],[Total Cost Per Serving (N+P)/I]]*Table156[[#This Row],[Estimated Servings Annual]]</f>
        <v>#DIV/0!</v>
      </c>
    </row>
    <row r="19" spans="1:23" ht="30" x14ac:dyDescent="0.25">
      <c r="A19" s="38" t="s">
        <v>107</v>
      </c>
      <c r="B19" s="43" t="s">
        <v>49</v>
      </c>
      <c r="C19" s="7" t="s">
        <v>13</v>
      </c>
      <c r="D19" s="7"/>
      <c r="E19" s="7"/>
      <c r="F19" s="7"/>
      <c r="G19" s="7"/>
      <c r="H19" s="7"/>
      <c r="I19" s="7"/>
      <c r="J19" s="93">
        <v>150000</v>
      </c>
      <c r="K19" s="7"/>
      <c r="L19" s="7"/>
      <c r="M19" s="7"/>
      <c r="N19" s="7"/>
      <c r="O19" s="7"/>
      <c r="P19" s="7"/>
      <c r="Q19" s="110"/>
      <c r="R19" s="105">
        <f>(Table156[[#This Row],[Commercial Bid Price per case for NOI ($)]]-Table156[[#This Row],[Pass-Thru Value per case ($)]])+Table156[[#This Row],[Region 1: Fixed Fee Per Case ($)]]</f>
        <v>0</v>
      </c>
      <c r="S19" s="18" t="e">
        <f>(Table156[[#This Row],[Commercial Bid Price per case for NOI ($)]]+Table156[[#This Row],[Region 1: Fixed Fee Per Case ($)]])/Table156[[#This Row],['# of CN Servings per case]]</f>
        <v>#DIV/0!</v>
      </c>
      <c r="T19" s="118" t="e">
        <f>Table156[[#This Row],[Total Cost Per Serving (N+O)/I]]*Table156[[#This Row],[Estimated Servings Annual]]</f>
        <v>#DIV/0!</v>
      </c>
      <c r="U19" s="105">
        <f>(Table156[[#This Row],[Commercial Bid Price per case for NOI ($)]]-Table156[[#This Row],[Pass-Thru Value per case ($)]])+Table156[[#This Row],[Region 2: Fixed Fee Per Case ($)]]</f>
        <v>0</v>
      </c>
      <c r="V19" s="24" t="e">
        <f>(Table156[[#This Row],[Commercial Bid Price per case for NOI ($)]]+Table156[[#This Row],[Region 2: Fixed Fee Per Case ($)]])/Table156[[#This Row],['# of CN Servings per case]]</f>
        <v>#DIV/0!</v>
      </c>
      <c r="W19" s="20" t="e">
        <f>Table156[[#This Row],[Total Cost Per Serving (N+P)/I]]*Table156[[#This Row],[Estimated Servings Annual]]</f>
        <v>#DIV/0!</v>
      </c>
    </row>
    <row r="20" spans="1:23" ht="30" x14ac:dyDescent="0.25">
      <c r="A20" s="38" t="s">
        <v>107</v>
      </c>
      <c r="B20" s="43" t="s">
        <v>49</v>
      </c>
      <c r="C20" s="7" t="s">
        <v>13</v>
      </c>
      <c r="D20" s="7"/>
      <c r="E20" s="7"/>
      <c r="F20" s="7"/>
      <c r="G20" s="7"/>
      <c r="H20" s="7"/>
      <c r="I20" s="7"/>
      <c r="J20" s="93">
        <v>150000</v>
      </c>
      <c r="K20" s="7"/>
      <c r="L20" s="7"/>
      <c r="M20" s="7"/>
      <c r="N20" s="7"/>
      <c r="O20" s="7"/>
      <c r="P20" s="7"/>
      <c r="Q20" s="110"/>
      <c r="R20" s="105">
        <f>(Table156[[#This Row],[Commercial Bid Price per case for NOI ($)]]-Table156[[#This Row],[Pass-Thru Value per case ($)]])+Table156[[#This Row],[Region 1: Fixed Fee Per Case ($)]]</f>
        <v>0</v>
      </c>
      <c r="S20" s="18" t="e">
        <f>(Table156[[#This Row],[Commercial Bid Price per case for NOI ($)]]+Table156[[#This Row],[Region 1: Fixed Fee Per Case ($)]])/Table156[[#This Row],['# of CN Servings per case]]</f>
        <v>#DIV/0!</v>
      </c>
      <c r="T20" s="118" t="e">
        <f>Table156[[#This Row],[Total Cost Per Serving (N+O)/I]]*Table156[[#This Row],[Estimated Servings Annual]]</f>
        <v>#DIV/0!</v>
      </c>
      <c r="U20" s="105">
        <f>(Table156[[#This Row],[Commercial Bid Price per case for NOI ($)]]-Table156[[#This Row],[Pass-Thru Value per case ($)]])+Table156[[#This Row],[Region 2: Fixed Fee Per Case ($)]]</f>
        <v>0</v>
      </c>
      <c r="V20" s="24" t="e">
        <f>(Table156[[#This Row],[Commercial Bid Price per case for NOI ($)]]+Table156[[#This Row],[Region 2: Fixed Fee Per Case ($)]])/Table156[[#This Row],['# of CN Servings per case]]</f>
        <v>#DIV/0!</v>
      </c>
      <c r="W20" s="20" t="e">
        <f>Table156[[#This Row],[Total Cost Per Serving (N+P)/I]]*Table156[[#This Row],[Estimated Servings Annual]]</f>
        <v>#DIV/0!</v>
      </c>
    </row>
    <row r="21" spans="1:23" ht="30" x14ac:dyDescent="0.25">
      <c r="A21" s="38" t="s">
        <v>107</v>
      </c>
      <c r="B21" s="43" t="s">
        <v>49</v>
      </c>
      <c r="C21" s="7" t="s">
        <v>13</v>
      </c>
      <c r="D21" s="7"/>
      <c r="E21" s="7"/>
      <c r="F21" s="7"/>
      <c r="G21" s="7"/>
      <c r="H21" s="7"/>
      <c r="I21" s="7"/>
      <c r="J21" s="93">
        <v>150000</v>
      </c>
      <c r="K21" s="7"/>
      <c r="L21" s="7"/>
      <c r="M21" s="7"/>
      <c r="N21" s="7"/>
      <c r="O21" s="7"/>
      <c r="P21" s="7"/>
      <c r="Q21" s="110"/>
      <c r="R21" s="105">
        <f>(Table156[[#This Row],[Commercial Bid Price per case for NOI ($)]]-Table156[[#This Row],[Pass-Thru Value per case ($)]])+Table156[[#This Row],[Region 1: Fixed Fee Per Case ($)]]</f>
        <v>0</v>
      </c>
      <c r="S21" s="18" t="e">
        <f>(Table156[[#This Row],[Commercial Bid Price per case for NOI ($)]]+Table156[[#This Row],[Region 1: Fixed Fee Per Case ($)]])/Table156[[#This Row],['# of CN Servings per case]]</f>
        <v>#DIV/0!</v>
      </c>
      <c r="T21" s="118" t="e">
        <f>Table156[[#This Row],[Total Cost Per Serving (N+O)/I]]*Table156[[#This Row],[Estimated Servings Annual]]</f>
        <v>#DIV/0!</v>
      </c>
      <c r="U21" s="105">
        <f>(Table156[[#This Row],[Commercial Bid Price per case for NOI ($)]]-Table156[[#This Row],[Pass-Thru Value per case ($)]])+Table156[[#This Row],[Region 2: Fixed Fee Per Case ($)]]</f>
        <v>0</v>
      </c>
      <c r="V21" s="24" t="e">
        <f>(Table156[[#This Row],[Commercial Bid Price per case for NOI ($)]]+Table156[[#This Row],[Region 2: Fixed Fee Per Case ($)]])/Table156[[#This Row],['# of CN Servings per case]]</f>
        <v>#DIV/0!</v>
      </c>
      <c r="W21" s="20" t="e">
        <f>Table156[[#This Row],[Total Cost Per Serving (N+P)/I]]*Table156[[#This Row],[Estimated Servings Annual]]</f>
        <v>#DIV/0!</v>
      </c>
    </row>
    <row r="22" spans="1:23" ht="30.75" thickBot="1" x14ac:dyDescent="0.3">
      <c r="A22" s="38" t="s">
        <v>107</v>
      </c>
      <c r="B22" s="44" t="s">
        <v>49</v>
      </c>
      <c r="C22" s="9" t="s">
        <v>13</v>
      </c>
      <c r="D22" s="9"/>
      <c r="E22" s="9"/>
      <c r="F22" s="9"/>
      <c r="G22" s="9"/>
      <c r="H22" s="9"/>
      <c r="I22" s="9"/>
      <c r="J22" s="94">
        <v>150000</v>
      </c>
      <c r="K22" s="9"/>
      <c r="L22" s="9"/>
      <c r="M22" s="9"/>
      <c r="N22" s="9"/>
      <c r="O22" s="9"/>
      <c r="P22" s="9"/>
      <c r="Q22" s="111"/>
      <c r="R22" s="106">
        <f>(Table156[[#This Row],[Commercial Bid Price per case for NOI ($)]]-Table156[[#This Row],[Pass-Thru Value per case ($)]])+Table156[[#This Row],[Region 1: Fixed Fee Per Case ($)]]</f>
        <v>0</v>
      </c>
      <c r="S22" s="21" t="e">
        <f>(Table156[[#This Row],[Commercial Bid Price per case for NOI ($)]]+Table156[[#This Row],[Region 1: Fixed Fee Per Case ($)]])/Table156[[#This Row],['# of CN Servings per case]]</f>
        <v>#DIV/0!</v>
      </c>
      <c r="T22" s="120" t="e">
        <f>Table156[[#This Row],[Total Cost Per Serving (N+O)/I]]*Table156[[#This Row],[Estimated Servings Annual]]</f>
        <v>#DIV/0!</v>
      </c>
      <c r="U22" s="106">
        <f>(Table156[[#This Row],[Commercial Bid Price per case for NOI ($)]]-Table156[[#This Row],[Pass-Thru Value per case ($)]])+Table156[[#This Row],[Region 2: Fixed Fee Per Case ($)]]</f>
        <v>0</v>
      </c>
      <c r="V22" s="25" t="e">
        <f>(Table156[[#This Row],[Commercial Bid Price per case for NOI ($)]]+Table156[[#This Row],[Region 2: Fixed Fee Per Case ($)]])/Table156[[#This Row],['# of CN Servings per case]]</f>
        <v>#DIV/0!</v>
      </c>
      <c r="W22" s="23" t="e">
        <f>Table156[[#This Row],[Total Cost Per Serving (N+P)/I]]*Table156[[#This Row],[Estimated Servings Annual]]</f>
        <v>#DIV/0!</v>
      </c>
    </row>
    <row r="23" spans="1:23" x14ac:dyDescent="0.25">
      <c r="A23" s="38" t="s">
        <v>107</v>
      </c>
      <c r="B23" s="42" t="s">
        <v>50</v>
      </c>
      <c r="C23" s="3" t="s">
        <v>152</v>
      </c>
      <c r="D23" s="4"/>
      <c r="E23" s="4"/>
      <c r="F23" s="4"/>
      <c r="G23" s="4"/>
      <c r="H23" s="4"/>
      <c r="I23" s="4"/>
      <c r="J23" s="92">
        <v>400000</v>
      </c>
      <c r="K23" s="4"/>
      <c r="L23" s="4"/>
      <c r="M23" s="4"/>
      <c r="N23" s="4"/>
      <c r="O23" s="4"/>
      <c r="P23" s="4"/>
      <c r="Q23" s="109"/>
      <c r="R23" s="104">
        <f>(Table156[[#This Row],[Commercial Bid Price per case for NOI ($)]]-Table156[[#This Row],[Pass-Thru Value per case ($)]])+Table156[[#This Row],[Region 1: Fixed Fee Per Case ($)]]</f>
        <v>0</v>
      </c>
      <c r="S23" s="15" t="e">
        <f>(Table156[[#This Row],[Commercial Bid Price per case for NOI ($)]]+Table156[[#This Row],[Region 1: Fixed Fee Per Case ($)]])/Table156[[#This Row],['# of CN Servings per case]]</f>
        <v>#DIV/0!</v>
      </c>
      <c r="T23" s="115" t="e">
        <f>Table156[[#This Row],[Total Cost Per Serving (N+O)/I]]*Table156[[#This Row],[Estimated Servings Annual]]</f>
        <v>#DIV/0!</v>
      </c>
      <c r="U23" s="104">
        <f>(Table156[[#This Row],[Commercial Bid Price per case for NOI ($)]]-Table156[[#This Row],[Pass-Thru Value per case ($)]])+Table156[[#This Row],[Region 2: Fixed Fee Per Case ($)]]</f>
        <v>0</v>
      </c>
      <c r="V23" s="31" t="e">
        <f>(Table156[[#This Row],[Commercial Bid Price per case for NOI ($)]]+Table156[[#This Row],[Region 2: Fixed Fee Per Case ($)]])/Table156[[#This Row],['# of CN Servings per case]]</f>
        <v>#DIV/0!</v>
      </c>
      <c r="W23" s="17" t="e">
        <f>Table156[[#This Row],[Total Cost Per Serving (N+P)/I]]*Table156[[#This Row],[Estimated Servings Annual]]</f>
        <v>#DIV/0!</v>
      </c>
    </row>
    <row r="24" spans="1:23" x14ac:dyDescent="0.25">
      <c r="A24" s="38" t="s">
        <v>107</v>
      </c>
      <c r="B24" s="43" t="s">
        <v>50</v>
      </c>
      <c r="C24" s="28" t="s">
        <v>152</v>
      </c>
      <c r="D24" s="29"/>
      <c r="E24" s="7"/>
      <c r="F24" s="7"/>
      <c r="G24" s="7"/>
      <c r="H24" s="7"/>
      <c r="I24" s="7"/>
      <c r="J24" s="93">
        <v>400000</v>
      </c>
      <c r="K24" s="7"/>
      <c r="L24" s="7"/>
      <c r="M24" s="7"/>
      <c r="N24" s="7"/>
      <c r="O24" s="7"/>
      <c r="P24" s="7"/>
      <c r="Q24" s="110"/>
      <c r="R24" s="105">
        <f>(Table156[[#This Row],[Commercial Bid Price per case for NOI ($)]]-Table156[[#This Row],[Pass-Thru Value per case ($)]])+Table156[[#This Row],[Region 1: Fixed Fee Per Case ($)]]</f>
        <v>0</v>
      </c>
      <c r="S24" s="18" t="e">
        <f>(Table156[[#This Row],[Commercial Bid Price per case for NOI ($)]]+Table156[[#This Row],[Region 1: Fixed Fee Per Case ($)]])/Table156[[#This Row],['# of CN Servings per case]]</f>
        <v>#DIV/0!</v>
      </c>
      <c r="T24" s="118" t="e">
        <f>Table156[[#This Row],[Total Cost Per Serving (N+O)/I]]*Table156[[#This Row],[Estimated Servings Annual]]</f>
        <v>#DIV/0!</v>
      </c>
      <c r="U24" s="105">
        <f>(Table156[[#This Row],[Commercial Bid Price per case for NOI ($)]]-Table156[[#This Row],[Pass-Thru Value per case ($)]])+Table156[[#This Row],[Region 2: Fixed Fee Per Case ($)]]</f>
        <v>0</v>
      </c>
      <c r="V24" s="24" t="e">
        <f>(Table156[[#This Row],[Commercial Bid Price per case for NOI ($)]]+Table156[[#This Row],[Region 2: Fixed Fee Per Case ($)]])/Table156[[#This Row],['# of CN Servings per case]]</f>
        <v>#DIV/0!</v>
      </c>
      <c r="W24" s="20" t="e">
        <f>Table156[[#This Row],[Total Cost Per Serving (N+P)/I]]*Table156[[#This Row],[Estimated Servings Annual]]</f>
        <v>#DIV/0!</v>
      </c>
    </row>
    <row r="25" spans="1:23" x14ac:dyDescent="0.25">
      <c r="A25" s="38" t="s">
        <v>107</v>
      </c>
      <c r="B25" s="43" t="s">
        <v>50</v>
      </c>
      <c r="C25" s="6" t="s">
        <v>51</v>
      </c>
      <c r="D25" s="7"/>
      <c r="E25" s="7"/>
      <c r="F25" s="7"/>
      <c r="G25" s="7"/>
      <c r="H25" s="7"/>
      <c r="I25" s="7"/>
      <c r="J25" s="93">
        <v>400000</v>
      </c>
      <c r="K25" s="7"/>
      <c r="L25" s="7"/>
      <c r="M25" s="7"/>
      <c r="N25" s="7"/>
      <c r="O25" s="7"/>
      <c r="P25" s="7"/>
      <c r="Q25" s="110"/>
      <c r="R25" s="105">
        <f>(Table156[[#This Row],[Commercial Bid Price per case for NOI ($)]]-Table156[[#This Row],[Pass-Thru Value per case ($)]])+Table156[[#This Row],[Region 1: Fixed Fee Per Case ($)]]</f>
        <v>0</v>
      </c>
      <c r="S25" s="18" t="e">
        <f>(Table156[[#This Row],[Commercial Bid Price per case for NOI ($)]]+Table156[[#This Row],[Region 1: Fixed Fee Per Case ($)]])/Table156[[#This Row],['# of CN Servings per case]]</f>
        <v>#DIV/0!</v>
      </c>
      <c r="T25" s="118" t="e">
        <f>Table156[[#This Row],[Total Cost Per Serving (N+O)/I]]*Table156[[#This Row],[Estimated Servings Annual]]</f>
        <v>#DIV/0!</v>
      </c>
      <c r="U25" s="105">
        <f>(Table156[[#This Row],[Commercial Bid Price per case for NOI ($)]]-Table156[[#This Row],[Pass-Thru Value per case ($)]])+Table156[[#This Row],[Region 2: Fixed Fee Per Case ($)]]</f>
        <v>0</v>
      </c>
      <c r="V25" s="24" t="e">
        <f>(Table156[[#This Row],[Commercial Bid Price per case for NOI ($)]]+Table156[[#This Row],[Region 2: Fixed Fee Per Case ($)]])/Table156[[#This Row],['# of CN Servings per case]]</f>
        <v>#DIV/0!</v>
      </c>
      <c r="W25" s="20" t="e">
        <f>Table156[[#This Row],[Total Cost Per Serving (N+P)/I]]*Table156[[#This Row],[Estimated Servings Annual]]</f>
        <v>#DIV/0!</v>
      </c>
    </row>
    <row r="26" spans="1:23" x14ac:dyDescent="0.25">
      <c r="A26" s="38" t="s">
        <v>107</v>
      </c>
      <c r="B26" s="43" t="s">
        <v>50</v>
      </c>
      <c r="C26" s="6" t="s">
        <v>51</v>
      </c>
      <c r="D26" s="7"/>
      <c r="E26" s="7"/>
      <c r="F26" s="7"/>
      <c r="G26" s="7"/>
      <c r="H26" s="7"/>
      <c r="I26" s="7"/>
      <c r="J26" s="93">
        <v>400000</v>
      </c>
      <c r="K26" s="7"/>
      <c r="L26" s="7"/>
      <c r="M26" s="7"/>
      <c r="N26" s="7"/>
      <c r="O26" s="7"/>
      <c r="P26" s="7"/>
      <c r="Q26" s="110"/>
      <c r="R26" s="105">
        <f>(Table156[[#This Row],[Commercial Bid Price per case for NOI ($)]]-Table156[[#This Row],[Pass-Thru Value per case ($)]])+Table156[[#This Row],[Region 1: Fixed Fee Per Case ($)]]</f>
        <v>0</v>
      </c>
      <c r="S26" s="18" t="e">
        <f>(Table156[[#This Row],[Commercial Bid Price per case for NOI ($)]]+Table156[[#This Row],[Region 1: Fixed Fee Per Case ($)]])/Table156[[#This Row],['# of CN Servings per case]]</f>
        <v>#DIV/0!</v>
      </c>
      <c r="T26" s="118" t="e">
        <f>Table156[[#This Row],[Total Cost Per Serving (N+O)/I]]*Table156[[#This Row],[Estimated Servings Annual]]</f>
        <v>#DIV/0!</v>
      </c>
      <c r="U26" s="105">
        <f>(Table156[[#This Row],[Commercial Bid Price per case for NOI ($)]]-Table156[[#This Row],[Pass-Thru Value per case ($)]])+Table156[[#This Row],[Region 2: Fixed Fee Per Case ($)]]</f>
        <v>0</v>
      </c>
      <c r="V26" s="24" t="e">
        <f>(Table156[[#This Row],[Commercial Bid Price per case for NOI ($)]]+Table156[[#This Row],[Region 2: Fixed Fee Per Case ($)]])/Table156[[#This Row],['# of CN Servings per case]]</f>
        <v>#DIV/0!</v>
      </c>
      <c r="W26" s="20" t="e">
        <f>Table156[[#This Row],[Total Cost Per Serving (N+P)/I]]*Table156[[#This Row],[Estimated Servings Annual]]</f>
        <v>#DIV/0!</v>
      </c>
    </row>
    <row r="27" spans="1:23" x14ac:dyDescent="0.25">
      <c r="A27" s="38" t="s">
        <v>107</v>
      </c>
      <c r="B27" s="43" t="s">
        <v>50</v>
      </c>
      <c r="C27" s="6" t="s">
        <v>52</v>
      </c>
      <c r="D27" s="7"/>
      <c r="E27" s="7"/>
      <c r="F27" s="7"/>
      <c r="G27" s="7"/>
      <c r="H27" s="7"/>
      <c r="I27" s="7"/>
      <c r="J27" s="93">
        <v>400000</v>
      </c>
      <c r="K27" s="7"/>
      <c r="L27" s="7"/>
      <c r="M27" s="7"/>
      <c r="N27" s="7"/>
      <c r="O27" s="7"/>
      <c r="P27" s="7"/>
      <c r="Q27" s="110"/>
      <c r="R27" s="105">
        <f>(Table156[[#This Row],[Commercial Bid Price per case for NOI ($)]]-Table156[[#This Row],[Pass-Thru Value per case ($)]])+Table156[[#This Row],[Region 1: Fixed Fee Per Case ($)]]</f>
        <v>0</v>
      </c>
      <c r="S27" s="18" t="e">
        <f>(Table156[[#This Row],[Commercial Bid Price per case for NOI ($)]]+Table156[[#This Row],[Region 1: Fixed Fee Per Case ($)]])/Table156[[#This Row],['# of CN Servings per case]]</f>
        <v>#DIV/0!</v>
      </c>
      <c r="T27" s="118" t="e">
        <f>Table156[[#This Row],[Total Cost Per Serving (N+O)/I]]*Table156[[#This Row],[Estimated Servings Annual]]</f>
        <v>#DIV/0!</v>
      </c>
      <c r="U27" s="105">
        <f>(Table156[[#This Row],[Commercial Bid Price per case for NOI ($)]]-Table156[[#This Row],[Pass-Thru Value per case ($)]])+Table156[[#This Row],[Region 2: Fixed Fee Per Case ($)]]</f>
        <v>0</v>
      </c>
      <c r="V27" s="24" t="e">
        <f>(Table156[[#This Row],[Commercial Bid Price per case for NOI ($)]]+Table156[[#This Row],[Region 2: Fixed Fee Per Case ($)]])/Table156[[#This Row],['# of CN Servings per case]]</f>
        <v>#DIV/0!</v>
      </c>
      <c r="W27" s="20" t="e">
        <f>Table156[[#This Row],[Total Cost Per Serving (N+P)/I]]*Table156[[#This Row],[Estimated Servings Annual]]</f>
        <v>#DIV/0!</v>
      </c>
    </row>
    <row r="28" spans="1:23" x14ac:dyDescent="0.25">
      <c r="A28" s="38" t="s">
        <v>107</v>
      </c>
      <c r="B28" s="43" t="s">
        <v>50</v>
      </c>
      <c r="C28" s="6" t="s">
        <v>52</v>
      </c>
      <c r="D28" s="7"/>
      <c r="E28" s="7"/>
      <c r="F28" s="7"/>
      <c r="G28" s="7"/>
      <c r="H28" s="7"/>
      <c r="I28" s="7"/>
      <c r="J28" s="93">
        <v>400000</v>
      </c>
      <c r="K28" s="7"/>
      <c r="L28" s="7"/>
      <c r="M28" s="7"/>
      <c r="N28" s="7"/>
      <c r="O28" s="7"/>
      <c r="P28" s="7"/>
      <c r="Q28" s="110"/>
      <c r="R28" s="105">
        <f>(Table156[[#This Row],[Commercial Bid Price per case for NOI ($)]]-Table156[[#This Row],[Pass-Thru Value per case ($)]])+Table156[[#This Row],[Region 1: Fixed Fee Per Case ($)]]</f>
        <v>0</v>
      </c>
      <c r="S28" s="18" t="e">
        <f>(Table156[[#This Row],[Commercial Bid Price per case for NOI ($)]]+Table156[[#This Row],[Region 1: Fixed Fee Per Case ($)]])/Table156[[#This Row],['# of CN Servings per case]]</f>
        <v>#DIV/0!</v>
      </c>
      <c r="T28" s="118" t="e">
        <f>Table156[[#This Row],[Total Cost Per Serving (N+O)/I]]*Table156[[#This Row],[Estimated Servings Annual]]</f>
        <v>#DIV/0!</v>
      </c>
      <c r="U28" s="105">
        <f>(Table156[[#This Row],[Commercial Bid Price per case for NOI ($)]]-Table156[[#This Row],[Pass-Thru Value per case ($)]])+Table156[[#This Row],[Region 2: Fixed Fee Per Case ($)]]</f>
        <v>0</v>
      </c>
      <c r="V28" s="24" t="e">
        <f>(Table156[[#This Row],[Commercial Bid Price per case for NOI ($)]]+Table156[[#This Row],[Region 2: Fixed Fee Per Case ($)]])/Table156[[#This Row],['# of CN Servings per case]]</f>
        <v>#DIV/0!</v>
      </c>
      <c r="W28" s="20" t="e">
        <f>Table156[[#This Row],[Total Cost Per Serving (N+P)/I]]*Table156[[#This Row],[Estimated Servings Annual]]</f>
        <v>#DIV/0!</v>
      </c>
    </row>
    <row r="29" spans="1:23" x14ac:dyDescent="0.25">
      <c r="A29" s="38" t="s">
        <v>107</v>
      </c>
      <c r="B29" s="43" t="s">
        <v>50</v>
      </c>
      <c r="C29" s="7" t="s">
        <v>13</v>
      </c>
      <c r="D29" s="7"/>
      <c r="E29" s="7"/>
      <c r="F29" s="7"/>
      <c r="G29" s="7"/>
      <c r="H29" s="7"/>
      <c r="I29" s="7"/>
      <c r="J29" s="93">
        <v>400000</v>
      </c>
      <c r="K29" s="7"/>
      <c r="L29" s="7"/>
      <c r="M29" s="7"/>
      <c r="N29" s="7"/>
      <c r="O29" s="7"/>
      <c r="P29" s="7"/>
      <c r="Q29" s="110"/>
      <c r="R29" s="105">
        <f>(Table156[[#This Row],[Commercial Bid Price per case for NOI ($)]]-Table156[[#This Row],[Pass-Thru Value per case ($)]])+Table156[[#This Row],[Region 1: Fixed Fee Per Case ($)]]</f>
        <v>0</v>
      </c>
      <c r="S29" s="18" t="e">
        <f>(Table156[[#This Row],[Commercial Bid Price per case for NOI ($)]]+Table156[[#This Row],[Region 1: Fixed Fee Per Case ($)]])/Table156[[#This Row],['# of CN Servings per case]]</f>
        <v>#DIV/0!</v>
      </c>
      <c r="T29" s="118" t="e">
        <f>Table156[[#This Row],[Total Cost Per Serving (N+O)/I]]*Table156[[#This Row],[Estimated Servings Annual]]</f>
        <v>#DIV/0!</v>
      </c>
      <c r="U29" s="105">
        <f>(Table156[[#This Row],[Commercial Bid Price per case for NOI ($)]]-Table156[[#This Row],[Pass-Thru Value per case ($)]])+Table156[[#This Row],[Region 2: Fixed Fee Per Case ($)]]</f>
        <v>0</v>
      </c>
      <c r="V29" s="24" t="e">
        <f>(Table156[[#This Row],[Commercial Bid Price per case for NOI ($)]]+Table156[[#This Row],[Region 2: Fixed Fee Per Case ($)]])/Table156[[#This Row],['# of CN Servings per case]]</f>
        <v>#DIV/0!</v>
      </c>
      <c r="W29" s="20" t="e">
        <f>Table156[[#This Row],[Total Cost Per Serving (N+P)/I]]*Table156[[#This Row],[Estimated Servings Annual]]</f>
        <v>#DIV/0!</v>
      </c>
    </row>
    <row r="30" spans="1:23" x14ac:dyDescent="0.25">
      <c r="A30" s="38" t="s">
        <v>107</v>
      </c>
      <c r="B30" s="43" t="s">
        <v>50</v>
      </c>
      <c r="C30" s="7" t="s">
        <v>13</v>
      </c>
      <c r="D30" s="7"/>
      <c r="E30" s="7"/>
      <c r="F30" s="7"/>
      <c r="G30" s="7"/>
      <c r="H30" s="7"/>
      <c r="I30" s="7"/>
      <c r="J30" s="93">
        <v>400000</v>
      </c>
      <c r="K30" s="7"/>
      <c r="L30" s="7"/>
      <c r="M30" s="7"/>
      <c r="N30" s="7"/>
      <c r="O30" s="7"/>
      <c r="P30" s="7"/>
      <c r="Q30" s="110"/>
      <c r="R30" s="105">
        <f>(Table156[[#This Row],[Commercial Bid Price per case for NOI ($)]]-Table156[[#This Row],[Pass-Thru Value per case ($)]])+Table156[[#This Row],[Region 1: Fixed Fee Per Case ($)]]</f>
        <v>0</v>
      </c>
      <c r="S30" s="18" t="e">
        <f>(Table156[[#This Row],[Commercial Bid Price per case for NOI ($)]]+Table156[[#This Row],[Region 1: Fixed Fee Per Case ($)]])/Table156[[#This Row],['# of CN Servings per case]]</f>
        <v>#DIV/0!</v>
      </c>
      <c r="T30" s="118" t="e">
        <f>Table156[[#This Row],[Total Cost Per Serving (N+O)/I]]*Table156[[#This Row],[Estimated Servings Annual]]</f>
        <v>#DIV/0!</v>
      </c>
      <c r="U30" s="105">
        <f>(Table156[[#This Row],[Commercial Bid Price per case for NOI ($)]]-Table156[[#This Row],[Pass-Thru Value per case ($)]])+Table156[[#This Row],[Region 2: Fixed Fee Per Case ($)]]</f>
        <v>0</v>
      </c>
      <c r="V30" s="24" t="e">
        <f>(Table156[[#This Row],[Commercial Bid Price per case for NOI ($)]]+Table156[[#This Row],[Region 2: Fixed Fee Per Case ($)]])/Table156[[#This Row],['# of CN Servings per case]]</f>
        <v>#DIV/0!</v>
      </c>
      <c r="W30" s="20" t="e">
        <f>Table156[[#This Row],[Total Cost Per Serving (N+P)/I]]*Table156[[#This Row],[Estimated Servings Annual]]</f>
        <v>#DIV/0!</v>
      </c>
    </row>
    <row r="31" spans="1:23" x14ac:dyDescent="0.25">
      <c r="A31" s="38" t="s">
        <v>107</v>
      </c>
      <c r="B31" s="43" t="s">
        <v>50</v>
      </c>
      <c r="C31" s="7" t="s">
        <v>13</v>
      </c>
      <c r="D31" s="7"/>
      <c r="E31" s="7"/>
      <c r="F31" s="7"/>
      <c r="G31" s="7"/>
      <c r="H31" s="7"/>
      <c r="I31" s="7"/>
      <c r="J31" s="93">
        <v>400000</v>
      </c>
      <c r="K31" s="7"/>
      <c r="L31" s="7"/>
      <c r="M31" s="7"/>
      <c r="N31" s="7"/>
      <c r="O31" s="7"/>
      <c r="P31" s="7"/>
      <c r="Q31" s="110"/>
      <c r="R31" s="105">
        <f>(Table156[[#This Row],[Commercial Bid Price per case for NOI ($)]]-Table156[[#This Row],[Pass-Thru Value per case ($)]])+Table156[[#This Row],[Region 1: Fixed Fee Per Case ($)]]</f>
        <v>0</v>
      </c>
      <c r="S31" s="18" t="e">
        <f>(Table156[[#This Row],[Commercial Bid Price per case for NOI ($)]]+Table156[[#This Row],[Region 1: Fixed Fee Per Case ($)]])/Table156[[#This Row],['# of CN Servings per case]]</f>
        <v>#DIV/0!</v>
      </c>
      <c r="T31" s="118" t="e">
        <f>Table156[[#This Row],[Total Cost Per Serving (N+O)/I]]*Table156[[#This Row],[Estimated Servings Annual]]</f>
        <v>#DIV/0!</v>
      </c>
      <c r="U31" s="105">
        <f>(Table156[[#This Row],[Commercial Bid Price per case for NOI ($)]]-Table156[[#This Row],[Pass-Thru Value per case ($)]])+Table156[[#This Row],[Region 2: Fixed Fee Per Case ($)]]</f>
        <v>0</v>
      </c>
      <c r="V31" s="24" t="e">
        <f>(Table156[[#This Row],[Commercial Bid Price per case for NOI ($)]]+Table156[[#This Row],[Region 2: Fixed Fee Per Case ($)]])/Table156[[#This Row],['# of CN Servings per case]]</f>
        <v>#DIV/0!</v>
      </c>
      <c r="W31" s="20" t="e">
        <f>Table156[[#This Row],[Total Cost Per Serving (N+P)/I]]*Table156[[#This Row],[Estimated Servings Annual]]</f>
        <v>#DIV/0!</v>
      </c>
    </row>
    <row r="32" spans="1:23" ht="15.75" thickBot="1" x14ac:dyDescent="0.3">
      <c r="A32" s="38" t="s">
        <v>107</v>
      </c>
      <c r="B32" s="44" t="s">
        <v>50</v>
      </c>
      <c r="C32" s="9" t="s">
        <v>13</v>
      </c>
      <c r="D32" s="9"/>
      <c r="E32" s="9"/>
      <c r="F32" s="9"/>
      <c r="G32" s="9"/>
      <c r="H32" s="9"/>
      <c r="I32" s="9"/>
      <c r="J32" s="94">
        <v>400000</v>
      </c>
      <c r="K32" s="9"/>
      <c r="L32" s="9"/>
      <c r="M32" s="9"/>
      <c r="N32" s="9"/>
      <c r="O32" s="9"/>
      <c r="P32" s="9"/>
      <c r="Q32" s="111"/>
      <c r="R32" s="106">
        <f>(Table156[[#This Row],[Commercial Bid Price per case for NOI ($)]]-Table156[[#This Row],[Pass-Thru Value per case ($)]])+Table156[[#This Row],[Region 1: Fixed Fee Per Case ($)]]</f>
        <v>0</v>
      </c>
      <c r="S32" s="21" t="e">
        <f>(Table156[[#This Row],[Commercial Bid Price per case for NOI ($)]]+Table156[[#This Row],[Region 1: Fixed Fee Per Case ($)]])/Table156[[#This Row],['# of CN Servings per case]]</f>
        <v>#DIV/0!</v>
      </c>
      <c r="T32" s="120" t="e">
        <f>Table156[[#This Row],[Total Cost Per Serving (N+O)/I]]*Table156[[#This Row],[Estimated Servings Annual]]</f>
        <v>#DIV/0!</v>
      </c>
      <c r="U32" s="106">
        <f>(Table156[[#This Row],[Commercial Bid Price per case for NOI ($)]]-Table156[[#This Row],[Pass-Thru Value per case ($)]])+Table156[[#This Row],[Region 2: Fixed Fee Per Case ($)]]</f>
        <v>0</v>
      </c>
      <c r="V32" s="25" t="e">
        <f>(Table156[[#This Row],[Commercial Bid Price per case for NOI ($)]]+Table156[[#This Row],[Region 2: Fixed Fee Per Case ($)]])/Table156[[#This Row],['# of CN Servings per case]]</f>
        <v>#DIV/0!</v>
      </c>
      <c r="W32" s="23" t="e">
        <f>Table156[[#This Row],[Total Cost Per Serving (N+P)/I]]*Table156[[#This Row],[Estimated Servings Annual]]</f>
        <v>#DIV/0!</v>
      </c>
    </row>
    <row r="33" spans="1:23" x14ac:dyDescent="0.25">
      <c r="A33" s="45" t="s">
        <v>107</v>
      </c>
      <c r="B33" s="42" t="s">
        <v>89</v>
      </c>
      <c r="C33" s="3" t="s">
        <v>94</v>
      </c>
      <c r="D33" s="4"/>
      <c r="E33" s="4"/>
      <c r="F33" s="4"/>
      <c r="G33" s="4"/>
      <c r="H33" s="4"/>
      <c r="I33" s="4"/>
      <c r="J33" s="92">
        <v>300000</v>
      </c>
      <c r="K33" s="4"/>
      <c r="L33" s="4"/>
      <c r="M33" s="4"/>
      <c r="N33" s="4"/>
      <c r="O33" s="4"/>
      <c r="P33" s="4"/>
      <c r="Q33" s="109"/>
      <c r="R33" s="104">
        <f>(Table156[[#This Row],[Commercial Bid Price per case for NOI ($)]]-Table156[[#This Row],[Pass-Thru Value per case ($)]])+Table156[[#This Row],[Region 1: Fixed Fee Per Case ($)]]</f>
        <v>0</v>
      </c>
      <c r="S33" s="15" t="e">
        <f>(Table156[[#This Row],[Commercial Bid Price per case for NOI ($)]]+Table156[[#This Row],[Region 1: Fixed Fee Per Case ($)]])/Table156[[#This Row],['# of CN Servings per case]]</f>
        <v>#DIV/0!</v>
      </c>
      <c r="T33" s="115" t="e">
        <f>Table156[[#This Row],[Total Cost Per Serving (N+O)/I]]*Table156[[#This Row],[Estimated Servings Annual]]</f>
        <v>#DIV/0!</v>
      </c>
      <c r="U33" s="104">
        <f>(Table156[[#This Row],[Commercial Bid Price per case for NOI ($)]]-Table156[[#This Row],[Pass-Thru Value per case ($)]])+Table156[[#This Row],[Region 2: Fixed Fee Per Case ($)]]</f>
        <v>0</v>
      </c>
      <c r="V33" s="31" t="e">
        <f>(Table156[[#This Row],[Commercial Bid Price per case for NOI ($)]]+Table156[[#This Row],[Region 2: Fixed Fee Per Case ($)]])/Table156[[#This Row],['# of CN Servings per case]]</f>
        <v>#DIV/0!</v>
      </c>
      <c r="W33" s="17" t="e">
        <f>Table156[[#This Row],[Total Cost Per Serving (N+P)/I]]*Table156[[#This Row],[Estimated Servings Annual]]</f>
        <v>#DIV/0!</v>
      </c>
    </row>
    <row r="34" spans="1:23" x14ac:dyDescent="0.25">
      <c r="A34" s="45" t="s">
        <v>107</v>
      </c>
      <c r="B34" s="43" t="s">
        <v>89</v>
      </c>
      <c r="C34" s="6" t="s">
        <v>94</v>
      </c>
      <c r="D34" s="7"/>
      <c r="E34" s="7"/>
      <c r="F34" s="7"/>
      <c r="G34" s="7"/>
      <c r="H34" s="7"/>
      <c r="I34" s="7"/>
      <c r="J34" s="93">
        <v>300000</v>
      </c>
      <c r="K34" s="7"/>
      <c r="L34" s="7"/>
      <c r="M34" s="7"/>
      <c r="N34" s="7"/>
      <c r="O34" s="7"/>
      <c r="P34" s="7"/>
      <c r="Q34" s="110"/>
      <c r="R34" s="105">
        <f>(Table156[[#This Row],[Commercial Bid Price per case for NOI ($)]]-Table156[[#This Row],[Pass-Thru Value per case ($)]])+Table156[[#This Row],[Region 1: Fixed Fee Per Case ($)]]</f>
        <v>0</v>
      </c>
      <c r="S34" s="18" t="e">
        <f>(Table156[[#This Row],[Commercial Bid Price per case for NOI ($)]]+Table156[[#This Row],[Region 1: Fixed Fee Per Case ($)]])/Table156[[#This Row],['# of CN Servings per case]]</f>
        <v>#DIV/0!</v>
      </c>
      <c r="T34" s="118" t="e">
        <f>Table156[[#This Row],[Total Cost Per Serving (N+O)/I]]*Table156[[#This Row],[Estimated Servings Annual]]</f>
        <v>#DIV/0!</v>
      </c>
      <c r="U34" s="105">
        <f>(Table156[[#This Row],[Commercial Bid Price per case for NOI ($)]]-Table156[[#This Row],[Pass-Thru Value per case ($)]])+Table156[[#This Row],[Region 2: Fixed Fee Per Case ($)]]</f>
        <v>0</v>
      </c>
      <c r="V34" s="24" t="e">
        <f>(Table156[[#This Row],[Commercial Bid Price per case for NOI ($)]]+Table156[[#This Row],[Region 2: Fixed Fee Per Case ($)]])/Table156[[#This Row],['# of CN Servings per case]]</f>
        <v>#DIV/0!</v>
      </c>
      <c r="W34" s="20" t="e">
        <f>Table156[[#This Row],[Total Cost Per Serving (N+P)/I]]*Table156[[#This Row],[Estimated Servings Annual]]</f>
        <v>#DIV/0!</v>
      </c>
    </row>
    <row r="35" spans="1:23" x14ac:dyDescent="0.25">
      <c r="A35" s="45" t="s">
        <v>107</v>
      </c>
      <c r="B35" s="43" t="s">
        <v>89</v>
      </c>
      <c r="C35" s="7" t="s">
        <v>13</v>
      </c>
      <c r="D35" s="7"/>
      <c r="E35" s="7"/>
      <c r="F35" s="7"/>
      <c r="G35" s="7"/>
      <c r="H35" s="7"/>
      <c r="I35" s="7"/>
      <c r="J35" s="93">
        <v>300000</v>
      </c>
      <c r="K35" s="7"/>
      <c r="L35" s="7"/>
      <c r="M35" s="7"/>
      <c r="N35" s="7"/>
      <c r="O35" s="7"/>
      <c r="P35" s="7"/>
      <c r="Q35" s="110"/>
      <c r="R35" s="105">
        <f>(Table156[[#This Row],[Commercial Bid Price per case for NOI ($)]]-Table156[[#This Row],[Pass-Thru Value per case ($)]])+Table156[[#This Row],[Region 1: Fixed Fee Per Case ($)]]</f>
        <v>0</v>
      </c>
      <c r="S35" s="18" t="e">
        <f>(Table156[[#This Row],[Commercial Bid Price per case for NOI ($)]]+Table156[[#This Row],[Region 1: Fixed Fee Per Case ($)]])/Table156[[#This Row],['# of CN Servings per case]]</f>
        <v>#DIV/0!</v>
      </c>
      <c r="T35" s="118" t="e">
        <f>Table156[[#This Row],[Total Cost Per Serving (N+O)/I]]*Table156[[#This Row],[Estimated Servings Annual]]</f>
        <v>#DIV/0!</v>
      </c>
      <c r="U35" s="105">
        <f>(Table156[[#This Row],[Commercial Bid Price per case for NOI ($)]]-Table156[[#This Row],[Pass-Thru Value per case ($)]])+Table156[[#This Row],[Region 2: Fixed Fee Per Case ($)]]</f>
        <v>0</v>
      </c>
      <c r="V35" s="24" t="e">
        <f>(Table156[[#This Row],[Commercial Bid Price per case for NOI ($)]]+Table156[[#This Row],[Region 2: Fixed Fee Per Case ($)]])/Table156[[#This Row],['# of CN Servings per case]]</f>
        <v>#DIV/0!</v>
      </c>
      <c r="W35" s="20" t="e">
        <f>Table156[[#This Row],[Total Cost Per Serving (N+P)/I]]*Table156[[#This Row],[Estimated Servings Annual]]</f>
        <v>#DIV/0!</v>
      </c>
    </row>
    <row r="36" spans="1:23" x14ac:dyDescent="0.25">
      <c r="A36" s="45" t="s">
        <v>107</v>
      </c>
      <c r="B36" s="43" t="s">
        <v>89</v>
      </c>
      <c r="C36" s="7" t="s">
        <v>13</v>
      </c>
      <c r="D36" s="7"/>
      <c r="E36" s="7"/>
      <c r="F36" s="7"/>
      <c r="G36" s="7"/>
      <c r="H36" s="7"/>
      <c r="I36" s="7"/>
      <c r="J36" s="93">
        <v>300000</v>
      </c>
      <c r="K36" s="7"/>
      <c r="L36" s="7"/>
      <c r="M36" s="7"/>
      <c r="N36" s="7"/>
      <c r="O36" s="7"/>
      <c r="P36" s="7"/>
      <c r="Q36" s="110"/>
      <c r="R36" s="105">
        <f>(Table156[[#This Row],[Commercial Bid Price per case for NOI ($)]]-Table156[[#This Row],[Pass-Thru Value per case ($)]])+Table156[[#This Row],[Region 1: Fixed Fee Per Case ($)]]</f>
        <v>0</v>
      </c>
      <c r="S36" s="18" t="e">
        <f>(Table156[[#This Row],[Commercial Bid Price per case for NOI ($)]]+Table156[[#This Row],[Region 1: Fixed Fee Per Case ($)]])/Table156[[#This Row],['# of CN Servings per case]]</f>
        <v>#DIV/0!</v>
      </c>
      <c r="T36" s="118" t="e">
        <f>Table156[[#This Row],[Total Cost Per Serving (N+O)/I]]*Table156[[#This Row],[Estimated Servings Annual]]</f>
        <v>#DIV/0!</v>
      </c>
      <c r="U36" s="105">
        <f>(Table156[[#This Row],[Commercial Bid Price per case for NOI ($)]]-Table156[[#This Row],[Pass-Thru Value per case ($)]])+Table156[[#This Row],[Region 2: Fixed Fee Per Case ($)]]</f>
        <v>0</v>
      </c>
      <c r="V36" s="24" t="e">
        <f>(Table156[[#This Row],[Commercial Bid Price per case for NOI ($)]]+Table156[[#This Row],[Region 2: Fixed Fee Per Case ($)]])/Table156[[#This Row],['# of CN Servings per case]]</f>
        <v>#DIV/0!</v>
      </c>
      <c r="W36" s="20" t="e">
        <f>Table156[[#This Row],[Total Cost Per Serving (N+P)/I]]*Table156[[#This Row],[Estimated Servings Annual]]</f>
        <v>#DIV/0!</v>
      </c>
    </row>
    <row r="37" spans="1:23" x14ac:dyDescent="0.25">
      <c r="A37" s="45" t="s">
        <v>107</v>
      </c>
      <c r="B37" s="43" t="s">
        <v>89</v>
      </c>
      <c r="C37" s="7" t="s">
        <v>13</v>
      </c>
      <c r="D37" s="7"/>
      <c r="E37" s="7"/>
      <c r="F37" s="7"/>
      <c r="G37" s="7"/>
      <c r="H37" s="7"/>
      <c r="I37" s="7"/>
      <c r="J37" s="93">
        <v>300000</v>
      </c>
      <c r="K37" s="7"/>
      <c r="L37" s="7"/>
      <c r="M37" s="7"/>
      <c r="N37" s="7"/>
      <c r="O37" s="7"/>
      <c r="P37" s="7"/>
      <c r="Q37" s="110"/>
      <c r="R37" s="105">
        <f>(Table156[[#This Row],[Commercial Bid Price per case for NOI ($)]]-Table156[[#This Row],[Pass-Thru Value per case ($)]])+Table156[[#This Row],[Region 1: Fixed Fee Per Case ($)]]</f>
        <v>0</v>
      </c>
      <c r="S37" s="18" t="e">
        <f>(Table156[[#This Row],[Commercial Bid Price per case for NOI ($)]]+Table156[[#This Row],[Region 1: Fixed Fee Per Case ($)]])/Table156[[#This Row],['# of CN Servings per case]]</f>
        <v>#DIV/0!</v>
      </c>
      <c r="T37" s="118" t="e">
        <f>Table156[[#This Row],[Total Cost Per Serving (N+O)/I]]*Table156[[#This Row],[Estimated Servings Annual]]</f>
        <v>#DIV/0!</v>
      </c>
      <c r="U37" s="105">
        <f>(Table156[[#This Row],[Commercial Bid Price per case for NOI ($)]]-Table156[[#This Row],[Pass-Thru Value per case ($)]])+Table156[[#This Row],[Region 2: Fixed Fee Per Case ($)]]</f>
        <v>0</v>
      </c>
      <c r="V37" s="24" t="e">
        <f>(Table156[[#This Row],[Commercial Bid Price per case for NOI ($)]]+Table156[[#This Row],[Region 2: Fixed Fee Per Case ($)]])/Table156[[#This Row],['# of CN Servings per case]]</f>
        <v>#DIV/0!</v>
      </c>
      <c r="W37" s="20" t="e">
        <f>Table156[[#This Row],[Total Cost Per Serving (N+P)/I]]*Table156[[#This Row],[Estimated Servings Annual]]</f>
        <v>#DIV/0!</v>
      </c>
    </row>
    <row r="38" spans="1:23" ht="15.75" thickBot="1" x14ac:dyDescent="0.3">
      <c r="A38" s="45" t="s">
        <v>107</v>
      </c>
      <c r="B38" s="44" t="s">
        <v>89</v>
      </c>
      <c r="C38" s="9" t="s">
        <v>13</v>
      </c>
      <c r="D38" s="9"/>
      <c r="E38" s="9"/>
      <c r="F38" s="9"/>
      <c r="G38" s="9"/>
      <c r="H38" s="9"/>
      <c r="I38" s="9"/>
      <c r="J38" s="94">
        <v>300000</v>
      </c>
      <c r="K38" s="9"/>
      <c r="L38" s="9"/>
      <c r="M38" s="9"/>
      <c r="N38" s="9"/>
      <c r="O38" s="9"/>
      <c r="P38" s="9"/>
      <c r="Q38" s="111"/>
      <c r="R38" s="106">
        <f>(Table156[[#This Row],[Commercial Bid Price per case for NOI ($)]]-Table156[[#This Row],[Pass-Thru Value per case ($)]])+Table156[[#This Row],[Region 1: Fixed Fee Per Case ($)]]</f>
        <v>0</v>
      </c>
      <c r="S38" s="21" t="e">
        <f>(Table156[[#This Row],[Commercial Bid Price per case for NOI ($)]]+Table156[[#This Row],[Region 1: Fixed Fee Per Case ($)]])/Table156[[#This Row],['# of CN Servings per case]]</f>
        <v>#DIV/0!</v>
      </c>
      <c r="T38" s="120" t="e">
        <f>Table156[[#This Row],[Total Cost Per Serving (N+O)/I]]*Table156[[#This Row],[Estimated Servings Annual]]</f>
        <v>#DIV/0!</v>
      </c>
      <c r="U38" s="106">
        <f>(Table156[[#This Row],[Commercial Bid Price per case for NOI ($)]]-Table156[[#This Row],[Pass-Thru Value per case ($)]])+Table156[[#This Row],[Region 2: Fixed Fee Per Case ($)]]</f>
        <v>0</v>
      </c>
      <c r="V38" s="25" t="e">
        <f>(Table156[[#This Row],[Commercial Bid Price per case for NOI ($)]]+Table156[[#This Row],[Region 2: Fixed Fee Per Case ($)]])/Table156[[#This Row],['# of CN Servings per case]]</f>
        <v>#DIV/0!</v>
      </c>
      <c r="W38" s="23" t="e">
        <f>Table156[[#This Row],[Total Cost Per Serving (N+P)/I]]*Table156[[#This Row],[Estimated Servings Annual]]</f>
        <v>#DIV/0!</v>
      </c>
    </row>
    <row r="39" spans="1:23" x14ac:dyDescent="0.25">
      <c r="A39" s="45" t="s">
        <v>107</v>
      </c>
      <c r="B39" s="42" t="s">
        <v>90</v>
      </c>
      <c r="C39" s="3" t="s">
        <v>94</v>
      </c>
      <c r="D39" s="4"/>
      <c r="E39" s="4"/>
      <c r="F39" s="4"/>
      <c r="G39" s="4"/>
      <c r="H39" s="4"/>
      <c r="I39" s="4"/>
      <c r="J39" s="92">
        <v>200000</v>
      </c>
      <c r="K39" s="4"/>
      <c r="L39" s="4"/>
      <c r="M39" s="4"/>
      <c r="N39" s="4"/>
      <c r="O39" s="4"/>
      <c r="P39" s="4"/>
      <c r="Q39" s="109"/>
      <c r="R39" s="104">
        <f>(Table156[[#This Row],[Commercial Bid Price per case for NOI ($)]]-Table156[[#This Row],[Pass-Thru Value per case ($)]])+Table156[[#This Row],[Region 1: Fixed Fee Per Case ($)]]</f>
        <v>0</v>
      </c>
      <c r="S39" s="15" t="e">
        <f>(Table156[[#This Row],[Commercial Bid Price per case for NOI ($)]]+Table156[[#This Row],[Region 1: Fixed Fee Per Case ($)]])/Table156[[#This Row],['# of CN Servings per case]]</f>
        <v>#DIV/0!</v>
      </c>
      <c r="T39" s="115" t="e">
        <f>Table156[[#This Row],[Total Cost Per Serving (N+O)/I]]*Table156[[#This Row],[Estimated Servings Annual]]</f>
        <v>#DIV/0!</v>
      </c>
      <c r="U39" s="104">
        <f>(Table156[[#This Row],[Commercial Bid Price per case for NOI ($)]]-Table156[[#This Row],[Pass-Thru Value per case ($)]])+Table156[[#This Row],[Region 2: Fixed Fee Per Case ($)]]</f>
        <v>0</v>
      </c>
      <c r="V39" s="31" t="e">
        <f>(Table156[[#This Row],[Commercial Bid Price per case for NOI ($)]]+Table156[[#This Row],[Region 2: Fixed Fee Per Case ($)]])/Table156[[#This Row],['# of CN Servings per case]]</f>
        <v>#DIV/0!</v>
      </c>
      <c r="W39" s="17" t="e">
        <f>Table156[[#This Row],[Total Cost Per Serving (N+P)/I]]*Table156[[#This Row],[Estimated Servings Annual]]</f>
        <v>#DIV/0!</v>
      </c>
    </row>
    <row r="40" spans="1:23" x14ac:dyDescent="0.25">
      <c r="A40" s="45" t="s">
        <v>107</v>
      </c>
      <c r="B40" s="43" t="s">
        <v>90</v>
      </c>
      <c r="C40" s="6" t="s">
        <v>94</v>
      </c>
      <c r="D40" s="7"/>
      <c r="E40" s="7"/>
      <c r="F40" s="7"/>
      <c r="G40" s="7"/>
      <c r="H40" s="7"/>
      <c r="I40" s="7"/>
      <c r="J40" s="93">
        <v>200000</v>
      </c>
      <c r="K40" s="7"/>
      <c r="L40" s="7"/>
      <c r="M40" s="7"/>
      <c r="N40" s="7"/>
      <c r="O40" s="7"/>
      <c r="P40" s="7"/>
      <c r="Q40" s="110"/>
      <c r="R40" s="105">
        <f>(Table156[[#This Row],[Commercial Bid Price per case for NOI ($)]]-Table156[[#This Row],[Pass-Thru Value per case ($)]])+Table156[[#This Row],[Region 1: Fixed Fee Per Case ($)]]</f>
        <v>0</v>
      </c>
      <c r="S40" s="18" t="e">
        <f>(Table156[[#This Row],[Commercial Bid Price per case for NOI ($)]]+Table156[[#This Row],[Region 1: Fixed Fee Per Case ($)]])/Table156[[#This Row],['# of CN Servings per case]]</f>
        <v>#DIV/0!</v>
      </c>
      <c r="T40" s="118" t="e">
        <f>Table156[[#This Row],[Total Cost Per Serving (N+O)/I]]*Table156[[#This Row],[Estimated Servings Annual]]</f>
        <v>#DIV/0!</v>
      </c>
      <c r="U40" s="105">
        <f>(Table156[[#This Row],[Commercial Bid Price per case for NOI ($)]]-Table156[[#This Row],[Pass-Thru Value per case ($)]])+Table156[[#This Row],[Region 2: Fixed Fee Per Case ($)]]</f>
        <v>0</v>
      </c>
      <c r="V40" s="24" t="e">
        <f>(Table156[[#This Row],[Commercial Bid Price per case for NOI ($)]]+Table156[[#This Row],[Region 2: Fixed Fee Per Case ($)]])/Table156[[#This Row],['# of CN Servings per case]]</f>
        <v>#DIV/0!</v>
      </c>
      <c r="W40" s="20" t="e">
        <f>Table156[[#This Row],[Total Cost Per Serving (N+P)/I]]*Table156[[#This Row],[Estimated Servings Annual]]</f>
        <v>#DIV/0!</v>
      </c>
    </row>
    <row r="41" spans="1:23" x14ac:dyDescent="0.25">
      <c r="A41" s="45" t="s">
        <v>107</v>
      </c>
      <c r="B41" s="43" t="s">
        <v>90</v>
      </c>
      <c r="C41" s="7" t="s">
        <v>13</v>
      </c>
      <c r="D41" s="7"/>
      <c r="E41" s="7"/>
      <c r="F41" s="7"/>
      <c r="G41" s="7"/>
      <c r="H41" s="7"/>
      <c r="I41" s="7"/>
      <c r="J41" s="93">
        <v>200000</v>
      </c>
      <c r="K41" s="7"/>
      <c r="L41" s="7"/>
      <c r="M41" s="7"/>
      <c r="N41" s="7"/>
      <c r="O41" s="7"/>
      <c r="P41" s="7"/>
      <c r="Q41" s="110"/>
      <c r="R41" s="105">
        <f>(Table156[[#This Row],[Commercial Bid Price per case for NOI ($)]]-Table156[[#This Row],[Pass-Thru Value per case ($)]])+Table156[[#This Row],[Region 1: Fixed Fee Per Case ($)]]</f>
        <v>0</v>
      </c>
      <c r="S41" s="18" t="e">
        <f>(Table156[[#This Row],[Commercial Bid Price per case for NOI ($)]]+Table156[[#This Row],[Region 1: Fixed Fee Per Case ($)]])/Table156[[#This Row],['# of CN Servings per case]]</f>
        <v>#DIV/0!</v>
      </c>
      <c r="T41" s="118" t="e">
        <f>Table156[[#This Row],[Total Cost Per Serving (N+O)/I]]*Table156[[#This Row],[Estimated Servings Annual]]</f>
        <v>#DIV/0!</v>
      </c>
      <c r="U41" s="105">
        <f>(Table156[[#This Row],[Commercial Bid Price per case for NOI ($)]]-Table156[[#This Row],[Pass-Thru Value per case ($)]])+Table156[[#This Row],[Region 2: Fixed Fee Per Case ($)]]</f>
        <v>0</v>
      </c>
      <c r="V41" s="24" t="e">
        <f>(Table156[[#This Row],[Commercial Bid Price per case for NOI ($)]]+Table156[[#This Row],[Region 2: Fixed Fee Per Case ($)]])/Table156[[#This Row],['# of CN Servings per case]]</f>
        <v>#DIV/0!</v>
      </c>
      <c r="W41" s="20" t="e">
        <f>Table156[[#This Row],[Total Cost Per Serving (N+P)/I]]*Table156[[#This Row],[Estimated Servings Annual]]</f>
        <v>#DIV/0!</v>
      </c>
    </row>
    <row r="42" spans="1:23" x14ac:dyDescent="0.25">
      <c r="A42" s="45" t="s">
        <v>107</v>
      </c>
      <c r="B42" s="43" t="s">
        <v>90</v>
      </c>
      <c r="C42" s="7" t="s">
        <v>13</v>
      </c>
      <c r="D42" s="7"/>
      <c r="E42" s="7"/>
      <c r="F42" s="7"/>
      <c r="G42" s="7"/>
      <c r="H42" s="7"/>
      <c r="I42" s="7"/>
      <c r="J42" s="93">
        <v>200000</v>
      </c>
      <c r="K42" s="7"/>
      <c r="L42" s="7"/>
      <c r="M42" s="7"/>
      <c r="N42" s="7"/>
      <c r="O42" s="7"/>
      <c r="P42" s="7"/>
      <c r="Q42" s="110"/>
      <c r="R42" s="105">
        <f>(Table156[[#This Row],[Commercial Bid Price per case for NOI ($)]]-Table156[[#This Row],[Pass-Thru Value per case ($)]])+Table156[[#This Row],[Region 1: Fixed Fee Per Case ($)]]</f>
        <v>0</v>
      </c>
      <c r="S42" s="18" t="e">
        <f>(Table156[[#This Row],[Commercial Bid Price per case for NOI ($)]]+Table156[[#This Row],[Region 1: Fixed Fee Per Case ($)]])/Table156[[#This Row],['# of CN Servings per case]]</f>
        <v>#DIV/0!</v>
      </c>
      <c r="T42" s="118" t="e">
        <f>Table156[[#This Row],[Total Cost Per Serving (N+O)/I]]*Table156[[#This Row],[Estimated Servings Annual]]</f>
        <v>#DIV/0!</v>
      </c>
      <c r="U42" s="105">
        <f>(Table156[[#This Row],[Commercial Bid Price per case for NOI ($)]]-Table156[[#This Row],[Pass-Thru Value per case ($)]])+Table156[[#This Row],[Region 2: Fixed Fee Per Case ($)]]</f>
        <v>0</v>
      </c>
      <c r="V42" s="24" t="e">
        <f>(Table156[[#This Row],[Commercial Bid Price per case for NOI ($)]]+Table156[[#This Row],[Region 2: Fixed Fee Per Case ($)]])/Table156[[#This Row],['# of CN Servings per case]]</f>
        <v>#DIV/0!</v>
      </c>
      <c r="W42" s="20" t="e">
        <f>Table156[[#This Row],[Total Cost Per Serving (N+P)/I]]*Table156[[#This Row],[Estimated Servings Annual]]</f>
        <v>#DIV/0!</v>
      </c>
    </row>
    <row r="43" spans="1:23" x14ac:dyDescent="0.25">
      <c r="A43" s="45" t="s">
        <v>107</v>
      </c>
      <c r="B43" s="43" t="s">
        <v>90</v>
      </c>
      <c r="C43" s="7" t="s">
        <v>13</v>
      </c>
      <c r="D43" s="7"/>
      <c r="E43" s="7"/>
      <c r="F43" s="7"/>
      <c r="G43" s="7"/>
      <c r="H43" s="7"/>
      <c r="I43" s="7"/>
      <c r="J43" s="93">
        <v>200000</v>
      </c>
      <c r="K43" s="7"/>
      <c r="L43" s="7"/>
      <c r="M43" s="7"/>
      <c r="N43" s="7"/>
      <c r="O43" s="7"/>
      <c r="P43" s="7"/>
      <c r="Q43" s="110"/>
      <c r="R43" s="105">
        <f>(Table156[[#This Row],[Commercial Bid Price per case for NOI ($)]]-Table156[[#This Row],[Pass-Thru Value per case ($)]])+Table156[[#This Row],[Region 1: Fixed Fee Per Case ($)]]</f>
        <v>0</v>
      </c>
      <c r="S43" s="18" t="e">
        <f>(Table156[[#This Row],[Commercial Bid Price per case for NOI ($)]]+Table156[[#This Row],[Region 1: Fixed Fee Per Case ($)]])/Table156[[#This Row],['# of CN Servings per case]]</f>
        <v>#DIV/0!</v>
      </c>
      <c r="T43" s="118" t="e">
        <f>Table156[[#This Row],[Total Cost Per Serving (N+O)/I]]*Table156[[#This Row],[Estimated Servings Annual]]</f>
        <v>#DIV/0!</v>
      </c>
      <c r="U43" s="105">
        <f>(Table156[[#This Row],[Commercial Bid Price per case for NOI ($)]]-Table156[[#This Row],[Pass-Thru Value per case ($)]])+Table156[[#This Row],[Region 2: Fixed Fee Per Case ($)]]</f>
        <v>0</v>
      </c>
      <c r="V43" s="24" t="e">
        <f>(Table156[[#This Row],[Commercial Bid Price per case for NOI ($)]]+Table156[[#This Row],[Region 2: Fixed Fee Per Case ($)]])/Table156[[#This Row],['# of CN Servings per case]]</f>
        <v>#DIV/0!</v>
      </c>
      <c r="W43" s="20" t="e">
        <f>Table156[[#This Row],[Total Cost Per Serving (N+P)/I]]*Table156[[#This Row],[Estimated Servings Annual]]</f>
        <v>#DIV/0!</v>
      </c>
    </row>
    <row r="44" spans="1:23" ht="15.75" thickBot="1" x14ac:dyDescent="0.3">
      <c r="A44" s="45" t="s">
        <v>107</v>
      </c>
      <c r="B44" s="44" t="s">
        <v>90</v>
      </c>
      <c r="C44" s="9" t="s">
        <v>13</v>
      </c>
      <c r="D44" s="9"/>
      <c r="E44" s="9"/>
      <c r="F44" s="9"/>
      <c r="G44" s="9"/>
      <c r="H44" s="9"/>
      <c r="I44" s="9"/>
      <c r="J44" s="94">
        <v>200000</v>
      </c>
      <c r="K44" s="9"/>
      <c r="L44" s="9"/>
      <c r="M44" s="9"/>
      <c r="N44" s="9"/>
      <c r="O44" s="9"/>
      <c r="P44" s="9"/>
      <c r="Q44" s="111"/>
      <c r="R44" s="106">
        <f>(Table156[[#This Row],[Commercial Bid Price per case for NOI ($)]]-Table156[[#This Row],[Pass-Thru Value per case ($)]])+Table156[[#This Row],[Region 1: Fixed Fee Per Case ($)]]</f>
        <v>0</v>
      </c>
      <c r="S44" s="21" t="e">
        <f>(Table156[[#This Row],[Commercial Bid Price per case for NOI ($)]]+Table156[[#This Row],[Region 1: Fixed Fee Per Case ($)]])/Table156[[#This Row],['# of CN Servings per case]]</f>
        <v>#DIV/0!</v>
      </c>
      <c r="T44" s="120" t="e">
        <f>Table156[[#This Row],[Total Cost Per Serving (N+O)/I]]*Table156[[#This Row],[Estimated Servings Annual]]</f>
        <v>#DIV/0!</v>
      </c>
      <c r="U44" s="106">
        <f>(Table156[[#This Row],[Commercial Bid Price per case for NOI ($)]]-Table156[[#This Row],[Pass-Thru Value per case ($)]])+Table156[[#This Row],[Region 2: Fixed Fee Per Case ($)]]</f>
        <v>0</v>
      </c>
      <c r="V44" s="25" t="e">
        <f>(Table156[[#This Row],[Commercial Bid Price per case for NOI ($)]]+Table156[[#This Row],[Region 2: Fixed Fee Per Case ($)]])/Table156[[#This Row],['# of CN Servings per case]]</f>
        <v>#DIV/0!</v>
      </c>
      <c r="W44" s="23" t="e">
        <f>Table156[[#This Row],[Total Cost Per Serving (N+P)/I]]*Table156[[#This Row],[Estimated Servings Annual]]</f>
        <v>#DIV/0!</v>
      </c>
    </row>
    <row r="45" spans="1:23" x14ac:dyDescent="0.25">
      <c r="A45" s="45" t="s">
        <v>107</v>
      </c>
      <c r="B45" s="42" t="s">
        <v>91</v>
      </c>
      <c r="C45" s="3" t="s">
        <v>94</v>
      </c>
      <c r="D45" s="4"/>
      <c r="E45" s="4"/>
      <c r="F45" s="4"/>
      <c r="G45" s="4"/>
      <c r="H45" s="4"/>
      <c r="I45" s="4"/>
      <c r="J45" s="92">
        <v>100000</v>
      </c>
      <c r="K45" s="4"/>
      <c r="L45" s="4"/>
      <c r="M45" s="4"/>
      <c r="N45" s="4"/>
      <c r="O45" s="4"/>
      <c r="P45" s="4"/>
      <c r="Q45" s="109"/>
      <c r="R45" s="104">
        <f>(Table156[[#This Row],[Commercial Bid Price per case for NOI ($)]]-Table156[[#This Row],[Pass-Thru Value per case ($)]])+Table156[[#This Row],[Region 1: Fixed Fee Per Case ($)]]</f>
        <v>0</v>
      </c>
      <c r="S45" s="15" t="e">
        <f>(Table156[[#This Row],[Commercial Bid Price per case for NOI ($)]]+Table156[[#This Row],[Region 1: Fixed Fee Per Case ($)]])/Table156[[#This Row],['# of CN Servings per case]]</f>
        <v>#DIV/0!</v>
      </c>
      <c r="T45" s="115" t="e">
        <f>Table156[[#This Row],[Total Cost Per Serving (N+O)/I]]*Table156[[#This Row],[Estimated Servings Annual]]</f>
        <v>#DIV/0!</v>
      </c>
      <c r="U45" s="104">
        <f>(Table156[[#This Row],[Commercial Bid Price per case for NOI ($)]]-Table156[[#This Row],[Pass-Thru Value per case ($)]])+Table156[[#This Row],[Region 2: Fixed Fee Per Case ($)]]</f>
        <v>0</v>
      </c>
      <c r="V45" s="31" t="e">
        <f>(Table156[[#This Row],[Commercial Bid Price per case for NOI ($)]]+Table156[[#This Row],[Region 2: Fixed Fee Per Case ($)]])/Table156[[#This Row],['# of CN Servings per case]]</f>
        <v>#DIV/0!</v>
      </c>
      <c r="W45" s="17" t="e">
        <f>Table156[[#This Row],[Total Cost Per Serving (N+P)/I]]*Table156[[#This Row],[Estimated Servings Annual]]</f>
        <v>#DIV/0!</v>
      </c>
    </row>
    <row r="46" spans="1:23" x14ac:dyDescent="0.25">
      <c r="A46" s="45" t="s">
        <v>107</v>
      </c>
      <c r="B46" s="43" t="s">
        <v>91</v>
      </c>
      <c r="C46" s="6" t="s">
        <v>94</v>
      </c>
      <c r="D46" s="7"/>
      <c r="E46" s="7"/>
      <c r="F46" s="7"/>
      <c r="G46" s="7"/>
      <c r="H46" s="7"/>
      <c r="I46" s="7"/>
      <c r="J46" s="93">
        <v>100000</v>
      </c>
      <c r="K46" s="7"/>
      <c r="L46" s="7"/>
      <c r="M46" s="7"/>
      <c r="N46" s="7"/>
      <c r="O46" s="7"/>
      <c r="P46" s="7"/>
      <c r="Q46" s="110"/>
      <c r="R46" s="105">
        <f>(Table156[[#This Row],[Commercial Bid Price per case for NOI ($)]]-Table156[[#This Row],[Pass-Thru Value per case ($)]])+Table156[[#This Row],[Region 1: Fixed Fee Per Case ($)]]</f>
        <v>0</v>
      </c>
      <c r="S46" s="18" t="e">
        <f>(Table156[[#This Row],[Commercial Bid Price per case for NOI ($)]]+Table156[[#This Row],[Region 1: Fixed Fee Per Case ($)]])/Table156[[#This Row],['# of CN Servings per case]]</f>
        <v>#DIV/0!</v>
      </c>
      <c r="T46" s="118" t="e">
        <f>Table156[[#This Row],[Total Cost Per Serving (N+O)/I]]*Table156[[#This Row],[Estimated Servings Annual]]</f>
        <v>#DIV/0!</v>
      </c>
      <c r="U46" s="105">
        <f>(Table156[[#This Row],[Commercial Bid Price per case for NOI ($)]]-Table156[[#This Row],[Pass-Thru Value per case ($)]])+Table156[[#This Row],[Region 2: Fixed Fee Per Case ($)]]</f>
        <v>0</v>
      </c>
      <c r="V46" s="24" t="e">
        <f>(Table156[[#This Row],[Commercial Bid Price per case for NOI ($)]]+Table156[[#This Row],[Region 2: Fixed Fee Per Case ($)]])/Table156[[#This Row],['# of CN Servings per case]]</f>
        <v>#DIV/0!</v>
      </c>
      <c r="W46" s="20" t="e">
        <f>Table156[[#This Row],[Total Cost Per Serving (N+P)/I]]*Table156[[#This Row],[Estimated Servings Annual]]</f>
        <v>#DIV/0!</v>
      </c>
    </row>
    <row r="47" spans="1:23" x14ac:dyDescent="0.25">
      <c r="A47" s="45" t="s">
        <v>107</v>
      </c>
      <c r="B47" s="43" t="s">
        <v>91</v>
      </c>
      <c r="C47" s="7" t="s">
        <v>13</v>
      </c>
      <c r="D47" s="7"/>
      <c r="E47" s="7"/>
      <c r="F47" s="7"/>
      <c r="G47" s="7"/>
      <c r="H47" s="7"/>
      <c r="I47" s="7"/>
      <c r="J47" s="93">
        <v>100000</v>
      </c>
      <c r="K47" s="7"/>
      <c r="L47" s="7"/>
      <c r="M47" s="7"/>
      <c r="N47" s="7"/>
      <c r="O47" s="7"/>
      <c r="P47" s="7"/>
      <c r="Q47" s="110"/>
      <c r="R47" s="105">
        <f>(Table156[[#This Row],[Commercial Bid Price per case for NOI ($)]]-Table156[[#This Row],[Pass-Thru Value per case ($)]])+Table156[[#This Row],[Region 1: Fixed Fee Per Case ($)]]</f>
        <v>0</v>
      </c>
      <c r="S47" s="18" t="e">
        <f>(Table156[[#This Row],[Commercial Bid Price per case for NOI ($)]]+Table156[[#This Row],[Region 1: Fixed Fee Per Case ($)]])/Table156[[#This Row],['# of CN Servings per case]]</f>
        <v>#DIV/0!</v>
      </c>
      <c r="T47" s="118" t="e">
        <f>Table156[[#This Row],[Total Cost Per Serving (N+O)/I]]*Table156[[#This Row],[Estimated Servings Annual]]</f>
        <v>#DIV/0!</v>
      </c>
      <c r="U47" s="105">
        <f>(Table156[[#This Row],[Commercial Bid Price per case for NOI ($)]]-Table156[[#This Row],[Pass-Thru Value per case ($)]])+Table156[[#This Row],[Region 2: Fixed Fee Per Case ($)]]</f>
        <v>0</v>
      </c>
      <c r="V47" s="24" t="e">
        <f>(Table156[[#This Row],[Commercial Bid Price per case for NOI ($)]]+Table156[[#This Row],[Region 2: Fixed Fee Per Case ($)]])/Table156[[#This Row],['# of CN Servings per case]]</f>
        <v>#DIV/0!</v>
      </c>
      <c r="W47" s="20" t="e">
        <f>Table156[[#This Row],[Total Cost Per Serving (N+P)/I]]*Table156[[#This Row],[Estimated Servings Annual]]</f>
        <v>#DIV/0!</v>
      </c>
    </row>
    <row r="48" spans="1:23" x14ac:dyDescent="0.25">
      <c r="A48" s="45" t="s">
        <v>107</v>
      </c>
      <c r="B48" s="43" t="s">
        <v>91</v>
      </c>
      <c r="C48" s="7" t="s">
        <v>13</v>
      </c>
      <c r="D48" s="7"/>
      <c r="E48" s="7"/>
      <c r="F48" s="7"/>
      <c r="G48" s="7"/>
      <c r="H48" s="7"/>
      <c r="I48" s="7"/>
      <c r="J48" s="93">
        <v>100000</v>
      </c>
      <c r="K48" s="7"/>
      <c r="L48" s="7"/>
      <c r="M48" s="7"/>
      <c r="N48" s="7"/>
      <c r="O48" s="7"/>
      <c r="P48" s="7"/>
      <c r="Q48" s="110"/>
      <c r="R48" s="105">
        <f>(Table156[[#This Row],[Commercial Bid Price per case for NOI ($)]]-Table156[[#This Row],[Pass-Thru Value per case ($)]])+Table156[[#This Row],[Region 1: Fixed Fee Per Case ($)]]</f>
        <v>0</v>
      </c>
      <c r="S48" s="18" t="e">
        <f>(Table156[[#This Row],[Commercial Bid Price per case for NOI ($)]]+Table156[[#This Row],[Region 1: Fixed Fee Per Case ($)]])/Table156[[#This Row],['# of CN Servings per case]]</f>
        <v>#DIV/0!</v>
      </c>
      <c r="T48" s="118" t="e">
        <f>Table156[[#This Row],[Total Cost Per Serving (N+O)/I]]*Table156[[#This Row],[Estimated Servings Annual]]</f>
        <v>#DIV/0!</v>
      </c>
      <c r="U48" s="105">
        <f>(Table156[[#This Row],[Commercial Bid Price per case for NOI ($)]]-Table156[[#This Row],[Pass-Thru Value per case ($)]])+Table156[[#This Row],[Region 2: Fixed Fee Per Case ($)]]</f>
        <v>0</v>
      </c>
      <c r="V48" s="24" t="e">
        <f>(Table156[[#This Row],[Commercial Bid Price per case for NOI ($)]]+Table156[[#This Row],[Region 2: Fixed Fee Per Case ($)]])/Table156[[#This Row],['# of CN Servings per case]]</f>
        <v>#DIV/0!</v>
      </c>
      <c r="W48" s="20" t="e">
        <f>Table156[[#This Row],[Total Cost Per Serving (N+P)/I]]*Table156[[#This Row],[Estimated Servings Annual]]</f>
        <v>#DIV/0!</v>
      </c>
    </row>
    <row r="49" spans="1:23" x14ac:dyDescent="0.25">
      <c r="A49" s="45" t="s">
        <v>107</v>
      </c>
      <c r="B49" s="43" t="s">
        <v>91</v>
      </c>
      <c r="C49" s="7" t="s">
        <v>13</v>
      </c>
      <c r="D49" s="7"/>
      <c r="E49" s="7"/>
      <c r="F49" s="7"/>
      <c r="G49" s="7"/>
      <c r="H49" s="7"/>
      <c r="I49" s="7"/>
      <c r="J49" s="93">
        <v>100000</v>
      </c>
      <c r="K49" s="7"/>
      <c r="L49" s="7"/>
      <c r="M49" s="7"/>
      <c r="N49" s="7"/>
      <c r="O49" s="7"/>
      <c r="P49" s="7"/>
      <c r="Q49" s="110"/>
      <c r="R49" s="105">
        <f>(Table156[[#This Row],[Commercial Bid Price per case for NOI ($)]]-Table156[[#This Row],[Pass-Thru Value per case ($)]])+Table156[[#This Row],[Region 1: Fixed Fee Per Case ($)]]</f>
        <v>0</v>
      </c>
      <c r="S49" s="18" t="e">
        <f>(Table156[[#This Row],[Commercial Bid Price per case for NOI ($)]]+Table156[[#This Row],[Region 1: Fixed Fee Per Case ($)]])/Table156[[#This Row],['# of CN Servings per case]]</f>
        <v>#DIV/0!</v>
      </c>
      <c r="T49" s="118" t="e">
        <f>Table156[[#This Row],[Total Cost Per Serving (N+O)/I]]*Table156[[#This Row],[Estimated Servings Annual]]</f>
        <v>#DIV/0!</v>
      </c>
      <c r="U49" s="105">
        <f>(Table156[[#This Row],[Commercial Bid Price per case for NOI ($)]]-Table156[[#This Row],[Pass-Thru Value per case ($)]])+Table156[[#This Row],[Region 2: Fixed Fee Per Case ($)]]</f>
        <v>0</v>
      </c>
      <c r="V49" s="24" t="e">
        <f>(Table156[[#This Row],[Commercial Bid Price per case for NOI ($)]]+Table156[[#This Row],[Region 2: Fixed Fee Per Case ($)]])/Table156[[#This Row],['# of CN Servings per case]]</f>
        <v>#DIV/0!</v>
      </c>
      <c r="W49" s="20" t="e">
        <f>Table156[[#This Row],[Total Cost Per Serving (N+P)/I]]*Table156[[#This Row],[Estimated Servings Annual]]</f>
        <v>#DIV/0!</v>
      </c>
    </row>
    <row r="50" spans="1:23" ht="15.75" thickBot="1" x14ac:dyDescent="0.3">
      <c r="A50" s="45" t="s">
        <v>107</v>
      </c>
      <c r="B50" s="44" t="s">
        <v>91</v>
      </c>
      <c r="C50" s="9" t="s">
        <v>13</v>
      </c>
      <c r="D50" s="9"/>
      <c r="E50" s="9"/>
      <c r="F50" s="9"/>
      <c r="G50" s="9"/>
      <c r="H50" s="9"/>
      <c r="I50" s="9"/>
      <c r="J50" s="94">
        <v>100000</v>
      </c>
      <c r="K50" s="9"/>
      <c r="L50" s="9"/>
      <c r="M50" s="9"/>
      <c r="N50" s="9"/>
      <c r="O50" s="9"/>
      <c r="P50" s="9"/>
      <c r="Q50" s="111"/>
      <c r="R50" s="106">
        <f>(Table156[[#This Row],[Commercial Bid Price per case for NOI ($)]]-Table156[[#This Row],[Pass-Thru Value per case ($)]])+Table156[[#This Row],[Region 1: Fixed Fee Per Case ($)]]</f>
        <v>0</v>
      </c>
      <c r="S50" s="21" t="e">
        <f>(Table156[[#This Row],[Commercial Bid Price per case for NOI ($)]]+Table156[[#This Row],[Region 1: Fixed Fee Per Case ($)]])/Table156[[#This Row],['# of CN Servings per case]]</f>
        <v>#DIV/0!</v>
      </c>
      <c r="T50" s="120" t="e">
        <f>Table156[[#This Row],[Total Cost Per Serving (N+O)/I]]*Table156[[#This Row],[Estimated Servings Annual]]</f>
        <v>#DIV/0!</v>
      </c>
      <c r="U50" s="106">
        <f>(Table156[[#This Row],[Commercial Bid Price per case for NOI ($)]]-Table156[[#This Row],[Pass-Thru Value per case ($)]])+Table156[[#This Row],[Region 2: Fixed Fee Per Case ($)]]</f>
        <v>0</v>
      </c>
      <c r="V50" s="25" t="e">
        <f>(Table156[[#This Row],[Commercial Bid Price per case for NOI ($)]]+Table156[[#This Row],[Region 2: Fixed Fee Per Case ($)]])/Table156[[#This Row],['# of CN Servings per case]]</f>
        <v>#DIV/0!</v>
      </c>
      <c r="W50" s="23" t="e">
        <f>Table156[[#This Row],[Total Cost Per Serving (N+P)/I]]*Table156[[#This Row],[Estimated Servings Annual]]</f>
        <v>#DIV/0!</v>
      </c>
    </row>
    <row r="51" spans="1:23" ht="30" x14ac:dyDescent="0.25">
      <c r="A51" s="45" t="s">
        <v>107</v>
      </c>
      <c r="B51" s="42" t="s">
        <v>92</v>
      </c>
      <c r="C51" s="3" t="s">
        <v>94</v>
      </c>
      <c r="D51" s="4"/>
      <c r="E51" s="4"/>
      <c r="F51" s="4"/>
      <c r="G51" s="4"/>
      <c r="H51" s="4"/>
      <c r="I51" s="4"/>
      <c r="J51" s="92">
        <v>450000</v>
      </c>
      <c r="K51" s="4"/>
      <c r="L51" s="4"/>
      <c r="M51" s="4"/>
      <c r="N51" s="4"/>
      <c r="O51" s="4"/>
      <c r="P51" s="4"/>
      <c r="Q51" s="109"/>
      <c r="R51" s="104">
        <f>(Table156[[#This Row],[Commercial Bid Price per case for NOI ($)]]-Table156[[#This Row],[Pass-Thru Value per case ($)]])+Table156[[#This Row],[Region 1: Fixed Fee Per Case ($)]]</f>
        <v>0</v>
      </c>
      <c r="S51" s="15" t="e">
        <f>(Table156[[#This Row],[Commercial Bid Price per case for NOI ($)]]+Table156[[#This Row],[Region 1: Fixed Fee Per Case ($)]])/Table156[[#This Row],['# of CN Servings per case]]</f>
        <v>#DIV/0!</v>
      </c>
      <c r="T51" s="115" t="e">
        <f>Table156[[#This Row],[Total Cost Per Serving (N+O)/I]]*Table156[[#This Row],[Estimated Servings Annual]]</f>
        <v>#DIV/0!</v>
      </c>
      <c r="U51" s="104">
        <f>(Table156[[#This Row],[Commercial Bid Price per case for NOI ($)]]-Table156[[#This Row],[Pass-Thru Value per case ($)]])+Table156[[#This Row],[Region 2: Fixed Fee Per Case ($)]]</f>
        <v>0</v>
      </c>
      <c r="V51" s="31" t="e">
        <f>(Table156[[#This Row],[Commercial Bid Price per case for NOI ($)]]+Table156[[#This Row],[Region 2: Fixed Fee Per Case ($)]])/Table156[[#This Row],['# of CN Servings per case]]</f>
        <v>#DIV/0!</v>
      </c>
      <c r="W51" s="17" t="e">
        <f>Table156[[#This Row],[Total Cost Per Serving (N+P)/I]]*Table156[[#This Row],[Estimated Servings Annual]]</f>
        <v>#DIV/0!</v>
      </c>
    </row>
    <row r="52" spans="1:23" ht="30" x14ac:dyDescent="0.25">
      <c r="A52" s="45" t="s">
        <v>107</v>
      </c>
      <c r="B52" s="43" t="s">
        <v>92</v>
      </c>
      <c r="C52" s="6" t="s">
        <v>94</v>
      </c>
      <c r="D52" s="7"/>
      <c r="E52" s="7"/>
      <c r="F52" s="7"/>
      <c r="G52" s="7"/>
      <c r="H52" s="7"/>
      <c r="I52" s="7"/>
      <c r="J52" s="93">
        <v>450000</v>
      </c>
      <c r="K52" s="7"/>
      <c r="L52" s="7"/>
      <c r="M52" s="7"/>
      <c r="N52" s="7"/>
      <c r="O52" s="7"/>
      <c r="P52" s="7"/>
      <c r="Q52" s="110"/>
      <c r="R52" s="105">
        <f>(Table156[[#This Row],[Commercial Bid Price per case for NOI ($)]]-Table156[[#This Row],[Pass-Thru Value per case ($)]])+Table156[[#This Row],[Region 1: Fixed Fee Per Case ($)]]</f>
        <v>0</v>
      </c>
      <c r="S52" s="18" t="e">
        <f>(Table156[[#This Row],[Commercial Bid Price per case for NOI ($)]]+Table156[[#This Row],[Region 1: Fixed Fee Per Case ($)]])/Table156[[#This Row],['# of CN Servings per case]]</f>
        <v>#DIV/0!</v>
      </c>
      <c r="T52" s="118" t="e">
        <f>Table156[[#This Row],[Total Cost Per Serving (N+O)/I]]*Table156[[#This Row],[Estimated Servings Annual]]</f>
        <v>#DIV/0!</v>
      </c>
      <c r="U52" s="105">
        <f>(Table156[[#This Row],[Commercial Bid Price per case for NOI ($)]]-Table156[[#This Row],[Pass-Thru Value per case ($)]])+Table156[[#This Row],[Region 2: Fixed Fee Per Case ($)]]</f>
        <v>0</v>
      </c>
      <c r="V52" s="24" t="e">
        <f>(Table156[[#This Row],[Commercial Bid Price per case for NOI ($)]]+Table156[[#This Row],[Region 2: Fixed Fee Per Case ($)]])/Table156[[#This Row],['# of CN Servings per case]]</f>
        <v>#DIV/0!</v>
      </c>
      <c r="W52" s="20" t="e">
        <f>Table156[[#This Row],[Total Cost Per Serving (N+P)/I]]*Table156[[#This Row],[Estimated Servings Annual]]</f>
        <v>#DIV/0!</v>
      </c>
    </row>
    <row r="53" spans="1:23" ht="30" x14ac:dyDescent="0.25">
      <c r="A53" s="45" t="s">
        <v>107</v>
      </c>
      <c r="B53" s="43" t="s">
        <v>92</v>
      </c>
      <c r="C53" s="6" t="s">
        <v>28</v>
      </c>
      <c r="D53" s="7"/>
      <c r="E53" s="7"/>
      <c r="F53" s="7"/>
      <c r="G53" s="7"/>
      <c r="H53" s="7"/>
      <c r="I53" s="7"/>
      <c r="J53" s="93">
        <v>450000</v>
      </c>
      <c r="K53" s="7"/>
      <c r="L53" s="7"/>
      <c r="M53" s="7"/>
      <c r="N53" s="7"/>
      <c r="O53" s="7"/>
      <c r="P53" s="7"/>
      <c r="Q53" s="110"/>
      <c r="R53" s="105">
        <f>(Table156[[#This Row],[Commercial Bid Price per case for NOI ($)]]-Table156[[#This Row],[Pass-Thru Value per case ($)]])+Table156[[#This Row],[Region 1: Fixed Fee Per Case ($)]]</f>
        <v>0</v>
      </c>
      <c r="S53" s="18" t="e">
        <f>(Table156[[#This Row],[Commercial Bid Price per case for NOI ($)]]+Table156[[#This Row],[Region 1: Fixed Fee Per Case ($)]])/Table156[[#This Row],['# of CN Servings per case]]</f>
        <v>#DIV/0!</v>
      </c>
      <c r="T53" s="118" t="e">
        <f>Table156[[#This Row],[Total Cost Per Serving (N+O)/I]]*Table156[[#This Row],[Estimated Servings Annual]]</f>
        <v>#DIV/0!</v>
      </c>
      <c r="U53" s="105">
        <f>(Table156[[#This Row],[Commercial Bid Price per case for NOI ($)]]-Table156[[#This Row],[Pass-Thru Value per case ($)]])+Table156[[#This Row],[Region 2: Fixed Fee Per Case ($)]]</f>
        <v>0</v>
      </c>
      <c r="V53" s="24" t="e">
        <f>(Table156[[#This Row],[Commercial Bid Price per case for NOI ($)]]+Table156[[#This Row],[Region 2: Fixed Fee Per Case ($)]])/Table156[[#This Row],['# of CN Servings per case]]</f>
        <v>#DIV/0!</v>
      </c>
      <c r="W53" s="20" t="e">
        <f>Table156[[#This Row],[Total Cost Per Serving (N+P)/I]]*Table156[[#This Row],[Estimated Servings Annual]]</f>
        <v>#DIV/0!</v>
      </c>
    </row>
    <row r="54" spans="1:23" ht="30" x14ac:dyDescent="0.25">
      <c r="A54" s="45" t="s">
        <v>107</v>
      </c>
      <c r="B54" s="43" t="s">
        <v>92</v>
      </c>
      <c r="C54" s="6" t="s">
        <v>28</v>
      </c>
      <c r="D54" s="7"/>
      <c r="E54" s="7"/>
      <c r="F54" s="7"/>
      <c r="G54" s="7"/>
      <c r="H54" s="7"/>
      <c r="I54" s="7"/>
      <c r="J54" s="93">
        <v>450000</v>
      </c>
      <c r="K54" s="7"/>
      <c r="L54" s="7"/>
      <c r="M54" s="7"/>
      <c r="N54" s="7"/>
      <c r="O54" s="7"/>
      <c r="P54" s="7"/>
      <c r="Q54" s="110"/>
      <c r="R54" s="105">
        <f>(Table156[[#This Row],[Commercial Bid Price per case for NOI ($)]]-Table156[[#This Row],[Pass-Thru Value per case ($)]])+Table156[[#This Row],[Region 1: Fixed Fee Per Case ($)]]</f>
        <v>0</v>
      </c>
      <c r="S54" s="18" t="e">
        <f>(Table156[[#This Row],[Commercial Bid Price per case for NOI ($)]]+Table156[[#This Row],[Region 1: Fixed Fee Per Case ($)]])/Table156[[#This Row],['# of CN Servings per case]]</f>
        <v>#DIV/0!</v>
      </c>
      <c r="T54" s="118" t="e">
        <f>Table156[[#This Row],[Total Cost Per Serving (N+O)/I]]*Table156[[#This Row],[Estimated Servings Annual]]</f>
        <v>#DIV/0!</v>
      </c>
      <c r="U54" s="105">
        <f>(Table156[[#This Row],[Commercial Bid Price per case for NOI ($)]]-Table156[[#This Row],[Pass-Thru Value per case ($)]])+Table156[[#This Row],[Region 2: Fixed Fee Per Case ($)]]</f>
        <v>0</v>
      </c>
      <c r="V54" s="24" t="e">
        <f>(Table156[[#This Row],[Commercial Bid Price per case for NOI ($)]]+Table156[[#This Row],[Region 2: Fixed Fee Per Case ($)]])/Table156[[#This Row],['# of CN Servings per case]]</f>
        <v>#DIV/0!</v>
      </c>
      <c r="W54" s="20" t="e">
        <f>Table156[[#This Row],[Total Cost Per Serving (N+P)/I]]*Table156[[#This Row],[Estimated Servings Annual]]</f>
        <v>#DIV/0!</v>
      </c>
    </row>
    <row r="55" spans="1:23" ht="30" x14ac:dyDescent="0.25">
      <c r="A55" s="45" t="s">
        <v>107</v>
      </c>
      <c r="B55" s="43" t="s">
        <v>92</v>
      </c>
      <c r="C55" s="7" t="s">
        <v>13</v>
      </c>
      <c r="D55" s="7"/>
      <c r="E55" s="7"/>
      <c r="F55" s="7"/>
      <c r="G55" s="7"/>
      <c r="H55" s="7"/>
      <c r="I55" s="7"/>
      <c r="J55" s="93">
        <v>450000</v>
      </c>
      <c r="K55" s="7"/>
      <c r="L55" s="7"/>
      <c r="M55" s="7"/>
      <c r="N55" s="7"/>
      <c r="O55" s="7"/>
      <c r="P55" s="7"/>
      <c r="Q55" s="110"/>
      <c r="R55" s="105">
        <f>(Table156[[#This Row],[Commercial Bid Price per case for NOI ($)]]-Table156[[#This Row],[Pass-Thru Value per case ($)]])+Table156[[#This Row],[Region 1: Fixed Fee Per Case ($)]]</f>
        <v>0</v>
      </c>
      <c r="S55" s="18" t="e">
        <f>(Table156[[#This Row],[Commercial Bid Price per case for NOI ($)]]+Table156[[#This Row],[Region 1: Fixed Fee Per Case ($)]])/Table156[[#This Row],['# of CN Servings per case]]</f>
        <v>#DIV/0!</v>
      </c>
      <c r="T55" s="118" t="e">
        <f>Table156[[#This Row],[Total Cost Per Serving (N+O)/I]]*Table156[[#This Row],[Estimated Servings Annual]]</f>
        <v>#DIV/0!</v>
      </c>
      <c r="U55" s="105">
        <f>(Table156[[#This Row],[Commercial Bid Price per case for NOI ($)]]-Table156[[#This Row],[Pass-Thru Value per case ($)]])+Table156[[#This Row],[Region 2: Fixed Fee Per Case ($)]]</f>
        <v>0</v>
      </c>
      <c r="V55" s="24" t="e">
        <f>(Table156[[#This Row],[Commercial Bid Price per case for NOI ($)]]+Table156[[#This Row],[Region 2: Fixed Fee Per Case ($)]])/Table156[[#This Row],['# of CN Servings per case]]</f>
        <v>#DIV/0!</v>
      </c>
      <c r="W55" s="20" t="e">
        <f>Table156[[#This Row],[Total Cost Per Serving (N+P)/I]]*Table156[[#This Row],[Estimated Servings Annual]]</f>
        <v>#DIV/0!</v>
      </c>
    </row>
    <row r="56" spans="1:23" ht="30" x14ac:dyDescent="0.25">
      <c r="A56" s="45" t="s">
        <v>107</v>
      </c>
      <c r="B56" s="43" t="s">
        <v>92</v>
      </c>
      <c r="C56" s="7" t="s">
        <v>13</v>
      </c>
      <c r="D56" s="7"/>
      <c r="E56" s="7"/>
      <c r="F56" s="7"/>
      <c r="G56" s="7"/>
      <c r="H56" s="7"/>
      <c r="I56" s="7"/>
      <c r="J56" s="93">
        <v>450000</v>
      </c>
      <c r="K56" s="7"/>
      <c r="L56" s="7"/>
      <c r="M56" s="7"/>
      <c r="N56" s="7"/>
      <c r="O56" s="7"/>
      <c r="P56" s="7"/>
      <c r="Q56" s="110"/>
      <c r="R56" s="105">
        <f>(Table156[[#This Row],[Commercial Bid Price per case for NOI ($)]]-Table156[[#This Row],[Pass-Thru Value per case ($)]])+Table156[[#This Row],[Region 1: Fixed Fee Per Case ($)]]</f>
        <v>0</v>
      </c>
      <c r="S56" s="18" t="e">
        <f>(Table156[[#This Row],[Commercial Bid Price per case for NOI ($)]]+Table156[[#This Row],[Region 1: Fixed Fee Per Case ($)]])/Table156[[#This Row],['# of CN Servings per case]]</f>
        <v>#DIV/0!</v>
      </c>
      <c r="T56" s="118" t="e">
        <f>Table156[[#This Row],[Total Cost Per Serving (N+O)/I]]*Table156[[#This Row],[Estimated Servings Annual]]</f>
        <v>#DIV/0!</v>
      </c>
      <c r="U56" s="105">
        <f>(Table156[[#This Row],[Commercial Bid Price per case for NOI ($)]]-Table156[[#This Row],[Pass-Thru Value per case ($)]])+Table156[[#This Row],[Region 2: Fixed Fee Per Case ($)]]</f>
        <v>0</v>
      </c>
      <c r="V56" s="24" t="e">
        <f>(Table156[[#This Row],[Commercial Bid Price per case for NOI ($)]]+Table156[[#This Row],[Region 2: Fixed Fee Per Case ($)]])/Table156[[#This Row],['# of CN Servings per case]]</f>
        <v>#DIV/0!</v>
      </c>
      <c r="W56" s="20" t="e">
        <f>Table156[[#This Row],[Total Cost Per Serving (N+P)/I]]*Table156[[#This Row],[Estimated Servings Annual]]</f>
        <v>#DIV/0!</v>
      </c>
    </row>
    <row r="57" spans="1:23" ht="30" x14ac:dyDescent="0.25">
      <c r="A57" s="45" t="s">
        <v>107</v>
      </c>
      <c r="B57" s="43" t="s">
        <v>92</v>
      </c>
      <c r="C57" s="7" t="s">
        <v>13</v>
      </c>
      <c r="D57" s="7"/>
      <c r="E57" s="7"/>
      <c r="F57" s="7"/>
      <c r="G57" s="7"/>
      <c r="H57" s="7"/>
      <c r="I57" s="7"/>
      <c r="J57" s="93">
        <v>450000</v>
      </c>
      <c r="K57" s="7"/>
      <c r="L57" s="7"/>
      <c r="M57" s="7"/>
      <c r="N57" s="7"/>
      <c r="O57" s="7"/>
      <c r="P57" s="7"/>
      <c r="Q57" s="110"/>
      <c r="R57" s="105">
        <f>(Table156[[#This Row],[Commercial Bid Price per case for NOI ($)]]-Table156[[#This Row],[Pass-Thru Value per case ($)]])+Table156[[#This Row],[Region 1: Fixed Fee Per Case ($)]]</f>
        <v>0</v>
      </c>
      <c r="S57" s="18" t="e">
        <f>(Table156[[#This Row],[Commercial Bid Price per case for NOI ($)]]+Table156[[#This Row],[Region 1: Fixed Fee Per Case ($)]])/Table156[[#This Row],['# of CN Servings per case]]</f>
        <v>#DIV/0!</v>
      </c>
      <c r="T57" s="118" t="e">
        <f>Table156[[#This Row],[Total Cost Per Serving (N+O)/I]]*Table156[[#This Row],[Estimated Servings Annual]]</f>
        <v>#DIV/0!</v>
      </c>
      <c r="U57" s="105">
        <f>(Table156[[#This Row],[Commercial Bid Price per case for NOI ($)]]-Table156[[#This Row],[Pass-Thru Value per case ($)]])+Table156[[#This Row],[Region 2: Fixed Fee Per Case ($)]]</f>
        <v>0</v>
      </c>
      <c r="V57" s="24" t="e">
        <f>(Table156[[#This Row],[Commercial Bid Price per case for NOI ($)]]+Table156[[#This Row],[Region 2: Fixed Fee Per Case ($)]])/Table156[[#This Row],['# of CN Servings per case]]</f>
        <v>#DIV/0!</v>
      </c>
      <c r="W57" s="20" t="e">
        <f>Table156[[#This Row],[Total Cost Per Serving (N+P)/I]]*Table156[[#This Row],[Estimated Servings Annual]]</f>
        <v>#DIV/0!</v>
      </c>
    </row>
    <row r="58" spans="1:23" ht="30.75" thickBot="1" x14ac:dyDescent="0.3">
      <c r="A58" s="45" t="s">
        <v>107</v>
      </c>
      <c r="B58" s="44" t="s">
        <v>92</v>
      </c>
      <c r="C58" s="9" t="s">
        <v>13</v>
      </c>
      <c r="D58" s="9"/>
      <c r="E58" s="9"/>
      <c r="F58" s="9"/>
      <c r="G58" s="9"/>
      <c r="H58" s="9"/>
      <c r="I58" s="9"/>
      <c r="J58" s="94">
        <v>450000</v>
      </c>
      <c r="K58" s="9"/>
      <c r="L58" s="9"/>
      <c r="M58" s="9"/>
      <c r="N58" s="9"/>
      <c r="O58" s="9"/>
      <c r="P58" s="9"/>
      <c r="Q58" s="111"/>
      <c r="R58" s="106">
        <f>(Table156[[#This Row],[Commercial Bid Price per case for NOI ($)]]-Table156[[#This Row],[Pass-Thru Value per case ($)]])+Table156[[#This Row],[Region 1: Fixed Fee Per Case ($)]]</f>
        <v>0</v>
      </c>
      <c r="S58" s="21" t="e">
        <f>(Table156[[#This Row],[Commercial Bid Price per case for NOI ($)]]+Table156[[#This Row],[Region 1: Fixed Fee Per Case ($)]])/Table156[[#This Row],['# of CN Servings per case]]</f>
        <v>#DIV/0!</v>
      </c>
      <c r="T58" s="120" t="e">
        <f>Table156[[#This Row],[Total Cost Per Serving (N+O)/I]]*Table156[[#This Row],[Estimated Servings Annual]]</f>
        <v>#DIV/0!</v>
      </c>
      <c r="U58" s="106">
        <f>(Table156[[#This Row],[Commercial Bid Price per case for NOI ($)]]-Table156[[#This Row],[Pass-Thru Value per case ($)]])+Table156[[#This Row],[Region 2: Fixed Fee Per Case ($)]]</f>
        <v>0</v>
      </c>
      <c r="V58" s="25" t="e">
        <f>(Table156[[#This Row],[Commercial Bid Price per case for NOI ($)]]+Table156[[#This Row],[Region 2: Fixed Fee Per Case ($)]])/Table156[[#This Row],['# of CN Servings per case]]</f>
        <v>#DIV/0!</v>
      </c>
      <c r="W58" s="23" t="e">
        <f>Table156[[#This Row],[Total Cost Per Serving (N+P)/I]]*Table156[[#This Row],[Estimated Servings Annual]]</f>
        <v>#DIV/0!</v>
      </c>
    </row>
    <row r="59" spans="1:23" x14ac:dyDescent="0.25">
      <c r="A59" s="45" t="s">
        <v>107</v>
      </c>
      <c r="B59" s="42" t="s">
        <v>93</v>
      </c>
      <c r="C59" s="3" t="s">
        <v>94</v>
      </c>
      <c r="D59" s="4"/>
      <c r="E59" s="4"/>
      <c r="F59" s="4"/>
      <c r="G59" s="4"/>
      <c r="H59" s="4"/>
      <c r="I59" s="4"/>
      <c r="J59" s="92">
        <v>150000</v>
      </c>
      <c r="K59" s="4"/>
      <c r="L59" s="4"/>
      <c r="M59" s="4"/>
      <c r="N59" s="4"/>
      <c r="O59" s="4"/>
      <c r="P59" s="4"/>
      <c r="Q59" s="109"/>
      <c r="R59" s="104">
        <f>(Table156[[#This Row],[Commercial Bid Price per case for NOI ($)]]-Table156[[#This Row],[Pass-Thru Value per case ($)]])+Table156[[#This Row],[Region 1: Fixed Fee Per Case ($)]]</f>
        <v>0</v>
      </c>
      <c r="S59" s="15" t="e">
        <f>(Table156[[#This Row],[Commercial Bid Price per case for NOI ($)]]+Table156[[#This Row],[Region 1: Fixed Fee Per Case ($)]])/Table156[[#This Row],['# of CN Servings per case]]</f>
        <v>#DIV/0!</v>
      </c>
      <c r="T59" s="115" t="e">
        <f>Table156[[#This Row],[Total Cost Per Serving (N+O)/I]]*Table156[[#This Row],[Estimated Servings Annual]]</f>
        <v>#DIV/0!</v>
      </c>
      <c r="U59" s="104">
        <f>(Table156[[#This Row],[Commercial Bid Price per case for NOI ($)]]-Table156[[#This Row],[Pass-Thru Value per case ($)]])+Table156[[#This Row],[Region 2: Fixed Fee Per Case ($)]]</f>
        <v>0</v>
      </c>
      <c r="V59" s="31" t="e">
        <f>(Table156[[#This Row],[Commercial Bid Price per case for NOI ($)]]+Table156[[#This Row],[Region 2: Fixed Fee Per Case ($)]])/Table156[[#This Row],['# of CN Servings per case]]</f>
        <v>#DIV/0!</v>
      </c>
      <c r="W59" s="17" t="e">
        <f>Table156[[#This Row],[Total Cost Per Serving (N+P)/I]]*Table156[[#This Row],[Estimated Servings Annual]]</f>
        <v>#DIV/0!</v>
      </c>
    </row>
    <row r="60" spans="1:23" x14ac:dyDescent="0.25">
      <c r="A60" s="45" t="s">
        <v>107</v>
      </c>
      <c r="B60" s="43" t="s">
        <v>93</v>
      </c>
      <c r="C60" s="6" t="s">
        <v>94</v>
      </c>
      <c r="D60" s="7"/>
      <c r="E60" s="7"/>
      <c r="F60" s="7"/>
      <c r="G60" s="7"/>
      <c r="H60" s="7"/>
      <c r="I60" s="7"/>
      <c r="J60" s="93">
        <v>150000</v>
      </c>
      <c r="K60" s="7"/>
      <c r="L60" s="7"/>
      <c r="M60" s="7"/>
      <c r="N60" s="7"/>
      <c r="O60" s="7"/>
      <c r="P60" s="7"/>
      <c r="Q60" s="110"/>
      <c r="R60" s="105">
        <f>(Table156[[#This Row],[Commercial Bid Price per case for NOI ($)]]-Table156[[#This Row],[Pass-Thru Value per case ($)]])+Table156[[#This Row],[Region 1: Fixed Fee Per Case ($)]]</f>
        <v>0</v>
      </c>
      <c r="S60" s="18" t="e">
        <f>(Table156[[#This Row],[Commercial Bid Price per case for NOI ($)]]+Table156[[#This Row],[Region 1: Fixed Fee Per Case ($)]])/Table156[[#This Row],['# of CN Servings per case]]</f>
        <v>#DIV/0!</v>
      </c>
      <c r="T60" s="118" t="e">
        <f>Table156[[#This Row],[Total Cost Per Serving (N+O)/I]]*Table156[[#This Row],[Estimated Servings Annual]]</f>
        <v>#DIV/0!</v>
      </c>
      <c r="U60" s="105">
        <f>(Table156[[#This Row],[Commercial Bid Price per case for NOI ($)]]-Table156[[#This Row],[Pass-Thru Value per case ($)]])+Table156[[#This Row],[Region 2: Fixed Fee Per Case ($)]]</f>
        <v>0</v>
      </c>
      <c r="V60" s="24" t="e">
        <f>(Table156[[#This Row],[Commercial Bid Price per case for NOI ($)]]+Table156[[#This Row],[Region 2: Fixed Fee Per Case ($)]])/Table156[[#This Row],['# of CN Servings per case]]</f>
        <v>#DIV/0!</v>
      </c>
      <c r="W60" s="20" t="e">
        <f>Table156[[#This Row],[Total Cost Per Serving (N+P)/I]]*Table156[[#This Row],[Estimated Servings Annual]]</f>
        <v>#DIV/0!</v>
      </c>
    </row>
    <row r="61" spans="1:23" x14ac:dyDescent="0.25">
      <c r="A61" s="45" t="s">
        <v>107</v>
      </c>
      <c r="B61" s="43" t="s">
        <v>93</v>
      </c>
      <c r="C61" s="6" t="s">
        <v>28</v>
      </c>
      <c r="D61" s="7"/>
      <c r="E61" s="7"/>
      <c r="F61" s="7"/>
      <c r="G61" s="7"/>
      <c r="H61" s="7"/>
      <c r="I61" s="7"/>
      <c r="J61" s="93">
        <v>150000</v>
      </c>
      <c r="K61" s="7"/>
      <c r="L61" s="7"/>
      <c r="M61" s="7"/>
      <c r="N61" s="7"/>
      <c r="O61" s="7"/>
      <c r="P61" s="7"/>
      <c r="Q61" s="110"/>
      <c r="R61" s="105">
        <f>(Table156[[#This Row],[Commercial Bid Price per case for NOI ($)]]-Table156[[#This Row],[Pass-Thru Value per case ($)]])+Table156[[#This Row],[Region 1: Fixed Fee Per Case ($)]]</f>
        <v>0</v>
      </c>
      <c r="S61" s="18" t="e">
        <f>(Table156[[#This Row],[Commercial Bid Price per case for NOI ($)]]+Table156[[#This Row],[Region 1: Fixed Fee Per Case ($)]])/Table156[[#This Row],['# of CN Servings per case]]</f>
        <v>#DIV/0!</v>
      </c>
      <c r="T61" s="118" t="e">
        <f>Table156[[#This Row],[Total Cost Per Serving (N+O)/I]]*Table156[[#This Row],[Estimated Servings Annual]]</f>
        <v>#DIV/0!</v>
      </c>
      <c r="U61" s="105">
        <f>(Table156[[#This Row],[Commercial Bid Price per case for NOI ($)]]-Table156[[#This Row],[Pass-Thru Value per case ($)]])+Table156[[#This Row],[Region 2: Fixed Fee Per Case ($)]]</f>
        <v>0</v>
      </c>
      <c r="V61" s="24" t="e">
        <f>(Table156[[#This Row],[Commercial Bid Price per case for NOI ($)]]+Table156[[#This Row],[Region 2: Fixed Fee Per Case ($)]])/Table156[[#This Row],['# of CN Servings per case]]</f>
        <v>#DIV/0!</v>
      </c>
      <c r="W61" s="20" t="e">
        <f>Table156[[#This Row],[Total Cost Per Serving (N+P)/I]]*Table156[[#This Row],[Estimated Servings Annual]]</f>
        <v>#DIV/0!</v>
      </c>
    </row>
    <row r="62" spans="1:23" x14ac:dyDescent="0.25">
      <c r="A62" s="45" t="s">
        <v>107</v>
      </c>
      <c r="B62" s="43" t="s">
        <v>93</v>
      </c>
      <c r="C62" s="6" t="s">
        <v>28</v>
      </c>
      <c r="D62" s="7"/>
      <c r="E62" s="7"/>
      <c r="F62" s="7"/>
      <c r="G62" s="7"/>
      <c r="H62" s="7"/>
      <c r="I62" s="7"/>
      <c r="J62" s="93">
        <v>150000</v>
      </c>
      <c r="K62" s="7"/>
      <c r="L62" s="7"/>
      <c r="M62" s="7"/>
      <c r="N62" s="7"/>
      <c r="O62" s="7"/>
      <c r="P62" s="7"/>
      <c r="Q62" s="110"/>
      <c r="R62" s="105">
        <f>(Table156[[#This Row],[Commercial Bid Price per case for NOI ($)]]-Table156[[#This Row],[Pass-Thru Value per case ($)]])+Table156[[#This Row],[Region 1: Fixed Fee Per Case ($)]]</f>
        <v>0</v>
      </c>
      <c r="S62" s="18" t="e">
        <f>(Table156[[#This Row],[Commercial Bid Price per case for NOI ($)]]+Table156[[#This Row],[Region 1: Fixed Fee Per Case ($)]])/Table156[[#This Row],['# of CN Servings per case]]</f>
        <v>#DIV/0!</v>
      </c>
      <c r="T62" s="118" t="e">
        <f>Table156[[#This Row],[Total Cost Per Serving (N+O)/I]]*Table156[[#This Row],[Estimated Servings Annual]]</f>
        <v>#DIV/0!</v>
      </c>
      <c r="U62" s="105">
        <f>(Table156[[#This Row],[Commercial Bid Price per case for NOI ($)]]-Table156[[#This Row],[Pass-Thru Value per case ($)]])+Table156[[#This Row],[Region 2: Fixed Fee Per Case ($)]]</f>
        <v>0</v>
      </c>
      <c r="V62" s="24" t="e">
        <f>(Table156[[#This Row],[Commercial Bid Price per case for NOI ($)]]+Table156[[#This Row],[Region 2: Fixed Fee Per Case ($)]])/Table156[[#This Row],['# of CN Servings per case]]</f>
        <v>#DIV/0!</v>
      </c>
      <c r="W62" s="20" t="e">
        <f>Table156[[#This Row],[Total Cost Per Serving (N+P)/I]]*Table156[[#This Row],[Estimated Servings Annual]]</f>
        <v>#DIV/0!</v>
      </c>
    </row>
    <row r="63" spans="1:23" x14ac:dyDescent="0.25">
      <c r="A63" s="45" t="s">
        <v>107</v>
      </c>
      <c r="B63" s="43" t="s">
        <v>93</v>
      </c>
      <c r="C63" s="7" t="s">
        <v>13</v>
      </c>
      <c r="D63" s="7"/>
      <c r="E63" s="7"/>
      <c r="F63" s="7"/>
      <c r="G63" s="7"/>
      <c r="H63" s="7"/>
      <c r="I63" s="7"/>
      <c r="J63" s="93">
        <v>150000</v>
      </c>
      <c r="K63" s="7"/>
      <c r="L63" s="7"/>
      <c r="M63" s="7"/>
      <c r="N63" s="7"/>
      <c r="O63" s="7"/>
      <c r="P63" s="7"/>
      <c r="Q63" s="110"/>
      <c r="R63" s="105">
        <f>(Table156[[#This Row],[Commercial Bid Price per case for NOI ($)]]-Table156[[#This Row],[Pass-Thru Value per case ($)]])+Table156[[#This Row],[Region 1: Fixed Fee Per Case ($)]]</f>
        <v>0</v>
      </c>
      <c r="S63" s="18" t="e">
        <f>(Table156[[#This Row],[Commercial Bid Price per case for NOI ($)]]+Table156[[#This Row],[Region 1: Fixed Fee Per Case ($)]])/Table156[[#This Row],['# of CN Servings per case]]</f>
        <v>#DIV/0!</v>
      </c>
      <c r="T63" s="118" t="e">
        <f>Table156[[#This Row],[Total Cost Per Serving (N+O)/I]]*Table156[[#This Row],[Estimated Servings Annual]]</f>
        <v>#DIV/0!</v>
      </c>
      <c r="U63" s="105">
        <f>(Table156[[#This Row],[Commercial Bid Price per case for NOI ($)]]-Table156[[#This Row],[Pass-Thru Value per case ($)]])+Table156[[#This Row],[Region 2: Fixed Fee Per Case ($)]]</f>
        <v>0</v>
      </c>
      <c r="V63" s="24" t="e">
        <f>(Table156[[#This Row],[Commercial Bid Price per case for NOI ($)]]+Table156[[#This Row],[Region 2: Fixed Fee Per Case ($)]])/Table156[[#This Row],['# of CN Servings per case]]</f>
        <v>#DIV/0!</v>
      </c>
      <c r="W63" s="20" t="e">
        <f>Table156[[#This Row],[Total Cost Per Serving (N+P)/I]]*Table156[[#This Row],[Estimated Servings Annual]]</f>
        <v>#DIV/0!</v>
      </c>
    </row>
    <row r="64" spans="1:23" x14ac:dyDescent="0.25">
      <c r="A64" s="45" t="s">
        <v>107</v>
      </c>
      <c r="B64" s="43" t="s">
        <v>93</v>
      </c>
      <c r="C64" s="7" t="s">
        <v>13</v>
      </c>
      <c r="D64" s="7"/>
      <c r="E64" s="7"/>
      <c r="F64" s="7"/>
      <c r="G64" s="7"/>
      <c r="H64" s="7"/>
      <c r="I64" s="7"/>
      <c r="J64" s="93">
        <v>150000</v>
      </c>
      <c r="K64" s="7"/>
      <c r="L64" s="7"/>
      <c r="M64" s="7"/>
      <c r="N64" s="7"/>
      <c r="O64" s="7"/>
      <c r="P64" s="7"/>
      <c r="Q64" s="110"/>
      <c r="R64" s="105">
        <f>(Table156[[#This Row],[Commercial Bid Price per case for NOI ($)]]-Table156[[#This Row],[Pass-Thru Value per case ($)]])+Table156[[#This Row],[Region 1: Fixed Fee Per Case ($)]]</f>
        <v>0</v>
      </c>
      <c r="S64" s="18" t="e">
        <f>(Table156[[#This Row],[Commercial Bid Price per case for NOI ($)]]+Table156[[#This Row],[Region 1: Fixed Fee Per Case ($)]])/Table156[[#This Row],['# of CN Servings per case]]</f>
        <v>#DIV/0!</v>
      </c>
      <c r="T64" s="118" t="e">
        <f>Table156[[#This Row],[Total Cost Per Serving (N+O)/I]]*Table156[[#This Row],[Estimated Servings Annual]]</f>
        <v>#DIV/0!</v>
      </c>
      <c r="U64" s="105">
        <f>(Table156[[#This Row],[Commercial Bid Price per case for NOI ($)]]-Table156[[#This Row],[Pass-Thru Value per case ($)]])+Table156[[#This Row],[Region 2: Fixed Fee Per Case ($)]]</f>
        <v>0</v>
      </c>
      <c r="V64" s="24" t="e">
        <f>(Table156[[#This Row],[Commercial Bid Price per case for NOI ($)]]+Table156[[#This Row],[Region 2: Fixed Fee Per Case ($)]])/Table156[[#This Row],['# of CN Servings per case]]</f>
        <v>#DIV/0!</v>
      </c>
      <c r="W64" s="20" t="e">
        <f>Table156[[#This Row],[Total Cost Per Serving (N+P)/I]]*Table156[[#This Row],[Estimated Servings Annual]]</f>
        <v>#DIV/0!</v>
      </c>
    </row>
    <row r="65" spans="1:23" x14ac:dyDescent="0.25">
      <c r="A65" s="45" t="s">
        <v>107</v>
      </c>
      <c r="B65" s="43" t="s">
        <v>93</v>
      </c>
      <c r="C65" s="7" t="s">
        <v>13</v>
      </c>
      <c r="D65" s="7"/>
      <c r="E65" s="7"/>
      <c r="F65" s="7"/>
      <c r="G65" s="7"/>
      <c r="H65" s="7"/>
      <c r="I65" s="7"/>
      <c r="J65" s="93">
        <v>150000</v>
      </c>
      <c r="K65" s="7"/>
      <c r="L65" s="7"/>
      <c r="M65" s="7"/>
      <c r="N65" s="7"/>
      <c r="O65" s="7"/>
      <c r="P65" s="7"/>
      <c r="Q65" s="110"/>
      <c r="R65" s="105">
        <f>(Table156[[#This Row],[Commercial Bid Price per case for NOI ($)]]-Table156[[#This Row],[Pass-Thru Value per case ($)]])+Table156[[#This Row],[Region 1: Fixed Fee Per Case ($)]]</f>
        <v>0</v>
      </c>
      <c r="S65" s="18" t="e">
        <f>(Table156[[#This Row],[Commercial Bid Price per case for NOI ($)]]+Table156[[#This Row],[Region 1: Fixed Fee Per Case ($)]])/Table156[[#This Row],['# of CN Servings per case]]</f>
        <v>#DIV/0!</v>
      </c>
      <c r="T65" s="118" t="e">
        <f>Table156[[#This Row],[Total Cost Per Serving (N+O)/I]]*Table156[[#This Row],[Estimated Servings Annual]]</f>
        <v>#DIV/0!</v>
      </c>
      <c r="U65" s="105">
        <f>(Table156[[#This Row],[Commercial Bid Price per case for NOI ($)]]-Table156[[#This Row],[Pass-Thru Value per case ($)]])+Table156[[#This Row],[Region 2: Fixed Fee Per Case ($)]]</f>
        <v>0</v>
      </c>
      <c r="V65" s="24" t="e">
        <f>(Table156[[#This Row],[Commercial Bid Price per case for NOI ($)]]+Table156[[#This Row],[Region 2: Fixed Fee Per Case ($)]])/Table156[[#This Row],['# of CN Servings per case]]</f>
        <v>#DIV/0!</v>
      </c>
      <c r="W65" s="20" t="e">
        <f>Table156[[#This Row],[Total Cost Per Serving (N+P)/I]]*Table156[[#This Row],[Estimated Servings Annual]]</f>
        <v>#DIV/0!</v>
      </c>
    </row>
    <row r="66" spans="1:23" ht="15.75" thickBot="1" x14ac:dyDescent="0.3">
      <c r="A66" s="46" t="s">
        <v>107</v>
      </c>
      <c r="B66" s="44" t="s">
        <v>93</v>
      </c>
      <c r="C66" s="9" t="s">
        <v>13</v>
      </c>
      <c r="D66" s="9"/>
      <c r="E66" s="9"/>
      <c r="F66" s="9"/>
      <c r="G66" s="9"/>
      <c r="H66" s="9"/>
      <c r="I66" s="9"/>
      <c r="J66" s="94">
        <v>150000</v>
      </c>
      <c r="K66" s="9"/>
      <c r="L66" s="9"/>
      <c r="M66" s="9"/>
      <c r="N66" s="9"/>
      <c r="O66" s="9"/>
      <c r="P66" s="9"/>
      <c r="Q66" s="111"/>
      <c r="R66" s="106">
        <f>(Table156[[#This Row],[Commercial Bid Price per case for NOI ($)]]-Table156[[#This Row],[Pass-Thru Value per case ($)]])+Table156[[#This Row],[Region 1: Fixed Fee Per Case ($)]]</f>
        <v>0</v>
      </c>
      <c r="S66" s="21" t="e">
        <f>(Table156[[#This Row],[Commercial Bid Price per case for NOI ($)]]+Table156[[#This Row],[Region 1: Fixed Fee Per Case ($)]])/Table156[[#This Row],['# of CN Servings per case]]</f>
        <v>#DIV/0!</v>
      </c>
      <c r="T66" s="120" t="e">
        <f>Table156[[#This Row],[Total Cost Per Serving (N+O)/I]]*Table156[[#This Row],[Estimated Servings Annual]]</f>
        <v>#DIV/0!</v>
      </c>
      <c r="U66" s="106">
        <f>(Table156[[#This Row],[Commercial Bid Price per case for NOI ($)]]-Table156[[#This Row],[Pass-Thru Value per case ($)]])+Table156[[#This Row],[Region 2: Fixed Fee Per Case ($)]]</f>
        <v>0</v>
      </c>
      <c r="V66" s="25" t="e">
        <f>(Table156[[#This Row],[Commercial Bid Price per case for NOI ($)]]+Table156[[#This Row],[Region 2: Fixed Fee Per Case ($)]])/Table156[[#This Row],['# of CN Servings per case]]</f>
        <v>#DIV/0!</v>
      </c>
      <c r="W66" s="23" t="e">
        <f>Table156[[#This Row],[Total Cost Per Serving (N+P)/I]]*Table156[[#This Row],[Estimated Servings Annual]]</f>
        <v>#DIV/0!</v>
      </c>
    </row>
    <row r="67" spans="1:23" ht="30" x14ac:dyDescent="0.25">
      <c r="A67" s="46" t="s">
        <v>107</v>
      </c>
      <c r="B67" s="69" t="s">
        <v>108</v>
      </c>
      <c r="C67" s="51" t="s">
        <v>28</v>
      </c>
      <c r="D67" s="52"/>
      <c r="E67" s="52"/>
      <c r="F67" s="52"/>
      <c r="G67" s="52"/>
      <c r="H67" s="52"/>
      <c r="I67" s="52"/>
      <c r="J67" s="96">
        <v>100000</v>
      </c>
      <c r="K67" s="52"/>
      <c r="L67" s="52"/>
      <c r="M67" s="52"/>
      <c r="N67" s="52"/>
      <c r="O67" s="52"/>
      <c r="P67" s="52"/>
      <c r="Q67" s="129"/>
      <c r="R67" s="130">
        <f>(Table156[[#This Row],[Commercial Bid Price per case for NOI ($)]]-Table156[[#This Row],[Pass-Thru Value per case ($)]])+Table156[[#This Row],[Region 1: Fixed Fee Per Case ($)]]</f>
        <v>0</v>
      </c>
      <c r="S67" s="53" t="e">
        <f>(Table156[[#This Row],[Commercial Bid Price per case for NOI ($)]]+Table156[[#This Row],[Region 1: Fixed Fee Per Case ($)]])/Table156[[#This Row],['# of CN Servings per case]]</f>
        <v>#DIV/0!</v>
      </c>
      <c r="T67" s="131" t="e">
        <f>Table156[[#This Row],[Total Cost Per Serving (N+O)/I]]*Table156[[#This Row],[Estimated Servings Annual]]</f>
        <v>#DIV/0!</v>
      </c>
      <c r="U67" s="130">
        <f>(Table156[[#This Row],[Commercial Bid Price per case for NOI ($)]]-Table156[[#This Row],[Pass-Thru Value per case ($)]])+Table156[[#This Row],[Region 2: Fixed Fee Per Case ($)]]</f>
        <v>0</v>
      </c>
      <c r="V67" s="54" t="e">
        <f>(Table156[[#This Row],[Commercial Bid Price per case for NOI ($)]]+Table156[[#This Row],[Region 2: Fixed Fee Per Case ($)]])/Table156[[#This Row],['# of CN Servings per case]]</f>
        <v>#DIV/0!</v>
      </c>
      <c r="W67" s="55" t="e">
        <f>Table156[[#This Row],[Total Cost Per Serving (N+P)/I]]*Table156[[#This Row],[Estimated Servings Annual]]</f>
        <v>#DIV/0!</v>
      </c>
    </row>
    <row r="68" spans="1:23" ht="30" x14ac:dyDescent="0.25">
      <c r="A68" s="46" t="s">
        <v>107</v>
      </c>
      <c r="B68" s="69" t="s">
        <v>108</v>
      </c>
      <c r="C68" s="6" t="s">
        <v>28</v>
      </c>
      <c r="D68" s="7"/>
      <c r="E68" s="7"/>
      <c r="F68" s="7"/>
      <c r="G68" s="7"/>
      <c r="H68" s="7"/>
      <c r="I68" s="7"/>
      <c r="J68" s="96">
        <v>100000</v>
      </c>
      <c r="K68" s="7"/>
      <c r="L68" s="7"/>
      <c r="M68" s="7"/>
      <c r="N68" s="7"/>
      <c r="O68" s="7"/>
      <c r="P68" s="7"/>
      <c r="Q68" s="110"/>
      <c r="R68" s="105">
        <f>(Table156[[#This Row],[Commercial Bid Price per case for NOI ($)]]-Table156[[#This Row],[Pass-Thru Value per case ($)]])+Table156[[#This Row],[Region 1: Fixed Fee Per Case ($)]]</f>
        <v>0</v>
      </c>
      <c r="S68" s="18" t="e">
        <f>(Table156[[#This Row],[Commercial Bid Price per case for NOI ($)]]+Table156[[#This Row],[Region 1: Fixed Fee Per Case ($)]])/Table156[[#This Row],['# of CN Servings per case]]</f>
        <v>#DIV/0!</v>
      </c>
      <c r="T68" s="118" t="e">
        <f>Table156[[#This Row],[Total Cost Per Serving (N+O)/I]]*Table156[[#This Row],[Estimated Servings Annual]]</f>
        <v>#DIV/0!</v>
      </c>
      <c r="U68" s="105">
        <f>(Table156[[#This Row],[Commercial Bid Price per case for NOI ($)]]-Table156[[#This Row],[Pass-Thru Value per case ($)]])+Table156[[#This Row],[Region 2: Fixed Fee Per Case ($)]]</f>
        <v>0</v>
      </c>
      <c r="V68" s="24" t="e">
        <f>(Table156[[#This Row],[Commercial Bid Price per case for NOI ($)]]+Table156[[#This Row],[Region 2: Fixed Fee Per Case ($)]])/Table156[[#This Row],['# of CN Servings per case]]</f>
        <v>#DIV/0!</v>
      </c>
      <c r="W68" s="20" t="e">
        <f>Table156[[#This Row],[Total Cost Per Serving (N+P)/I]]*Table156[[#This Row],[Estimated Servings Annual]]</f>
        <v>#DIV/0!</v>
      </c>
    </row>
    <row r="69" spans="1:23" ht="30" x14ac:dyDescent="0.25">
      <c r="A69" s="46" t="s">
        <v>107</v>
      </c>
      <c r="B69" s="69" t="s">
        <v>108</v>
      </c>
      <c r="C69" s="6" t="s">
        <v>109</v>
      </c>
      <c r="D69" s="7"/>
      <c r="E69" s="7"/>
      <c r="F69" s="7"/>
      <c r="G69" s="7"/>
      <c r="H69" s="7"/>
      <c r="I69" s="7"/>
      <c r="J69" s="96">
        <v>100000</v>
      </c>
      <c r="K69" s="7"/>
      <c r="L69" s="7"/>
      <c r="M69" s="7"/>
      <c r="N69" s="7"/>
      <c r="O69" s="7"/>
      <c r="P69" s="7"/>
      <c r="Q69" s="110"/>
      <c r="R69" s="105">
        <f>(Table156[[#This Row],[Commercial Bid Price per case for NOI ($)]]-Table156[[#This Row],[Pass-Thru Value per case ($)]])+Table156[[#This Row],[Region 1: Fixed Fee Per Case ($)]]</f>
        <v>0</v>
      </c>
      <c r="S69" s="18" t="e">
        <f>(Table156[[#This Row],[Commercial Bid Price per case for NOI ($)]]+Table156[[#This Row],[Region 1: Fixed Fee Per Case ($)]])/Table156[[#This Row],['# of CN Servings per case]]</f>
        <v>#DIV/0!</v>
      </c>
      <c r="T69" s="118" t="e">
        <f>Table156[[#This Row],[Total Cost Per Serving (N+O)/I]]*Table156[[#This Row],[Estimated Servings Annual]]</f>
        <v>#DIV/0!</v>
      </c>
      <c r="U69" s="105">
        <f>(Table156[[#This Row],[Commercial Bid Price per case for NOI ($)]]-Table156[[#This Row],[Pass-Thru Value per case ($)]])+Table156[[#This Row],[Region 2: Fixed Fee Per Case ($)]]</f>
        <v>0</v>
      </c>
      <c r="V69" s="24" t="e">
        <f>(Table156[[#This Row],[Commercial Bid Price per case for NOI ($)]]+Table156[[#This Row],[Region 2: Fixed Fee Per Case ($)]])/Table156[[#This Row],['# of CN Servings per case]]</f>
        <v>#DIV/0!</v>
      </c>
      <c r="W69" s="20" t="e">
        <f>Table156[[#This Row],[Total Cost Per Serving (N+P)/I]]*Table156[[#This Row],[Estimated Servings Annual]]</f>
        <v>#DIV/0!</v>
      </c>
    </row>
    <row r="70" spans="1:23" ht="30" x14ac:dyDescent="0.25">
      <c r="A70" s="46" t="s">
        <v>107</v>
      </c>
      <c r="B70" s="69" t="s">
        <v>108</v>
      </c>
      <c r="C70" s="6" t="s">
        <v>109</v>
      </c>
      <c r="D70" s="7"/>
      <c r="E70" s="7"/>
      <c r="F70" s="7"/>
      <c r="G70" s="7"/>
      <c r="H70" s="7"/>
      <c r="I70" s="7"/>
      <c r="J70" s="96">
        <v>100000</v>
      </c>
      <c r="K70" s="7"/>
      <c r="L70" s="7"/>
      <c r="M70" s="7"/>
      <c r="N70" s="7"/>
      <c r="O70" s="7"/>
      <c r="P70" s="7"/>
      <c r="Q70" s="110"/>
      <c r="R70" s="105">
        <f>(Table156[[#This Row],[Commercial Bid Price per case for NOI ($)]]-Table156[[#This Row],[Pass-Thru Value per case ($)]])+Table156[[#This Row],[Region 1: Fixed Fee Per Case ($)]]</f>
        <v>0</v>
      </c>
      <c r="S70" s="18" t="e">
        <f>(Table156[[#This Row],[Commercial Bid Price per case for NOI ($)]]+Table156[[#This Row],[Region 1: Fixed Fee Per Case ($)]])/Table156[[#This Row],['# of CN Servings per case]]</f>
        <v>#DIV/0!</v>
      </c>
      <c r="T70" s="118" t="e">
        <f>Table156[[#This Row],[Total Cost Per Serving (N+O)/I]]*Table156[[#This Row],[Estimated Servings Annual]]</f>
        <v>#DIV/0!</v>
      </c>
      <c r="U70" s="105">
        <f>(Table156[[#This Row],[Commercial Bid Price per case for NOI ($)]]-Table156[[#This Row],[Pass-Thru Value per case ($)]])+Table156[[#This Row],[Region 2: Fixed Fee Per Case ($)]]</f>
        <v>0</v>
      </c>
      <c r="V70" s="24" t="e">
        <f>(Table156[[#This Row],[Commercial Bid Price per case for NOI ($)]]+Table156[[#This Row],[Region 2: Fixed Fee Per Case ($)]])/Table156[[#This Row],['# of CN Servings per case]]</f>
        <v>#DIV/0!</v>
      </c>
      <c r="W70" s="20" t="e">
        <f>Table156[[#This Row],[Total Cost Per Serving (N+P)/I]]*Table156[[#This Row],[Estimated Servings Annual]]</f>
        <v>#DIV/0!</v>
      </c>
    </row>
    <row r="71" spans="1:23" ht="30" x14ac:dyDescent="0.25">
      <c r="A71" s="46" t="s">
        <v>107</v>
      </c>
      <c r="B71" s="69" t="s">
        <v>108</v>
      </c>
      <c r="C71" s="7" t="s">
        <v>13</v>
      </c>
      <c r="D71" s="7"/>
      <c r="E71" s="7"/>
      <c r="F71" s="7"/>
      <c r="G71" s="7"/>
      <c r="H71" s="7"/>
      <c r="I71" s="7"/>
      <c r="J71" s="96">
        <v>100000</v>
      </c>
      <c r="K71" s="7"/>
      <c r="L71" s="7"/>
      <c r="M71" s="7"/>
      <c r="N71" s="7"/>
      <c r="O71" s="7"/>
      <c r="P71" s="7"/>
      <c r="Q71" s="110"/>
      <c r="R71" s="105">
        <f>(Table156[[#This Row],[Commercial Bid Price per case for NOI ($)]]-Table156[[#This Row],[Pass-Thru Value per case ($)]])+Table156[[#This Row],[Region 1: Fixed Fee Per Case ($)]]</f>
        <v>0</v>
      </c>
      <c r="S71" s="18" t="e">
        <f>(Table156[[#This Row],[Commercial Bid Price per case for NOI ($)]]+Table156[[#This Row],[Region 1: Fixed Fee Per Case ($)]])/Table156[[#This Row],['# of CN Servings per case]]</f>
        <v>#DIV/0!</v>
      </c>
      <c r="T71" s="118" t="e">
        <f>Table156[[#This Row],[Total Cost Per Serving (N+O)/I]]*Table156[[#This Row],[Estimated Servings Annual]]</f>
        <v>#DIV/0!</v>
      </c>
      <c r="U71" s="105">
        <f>(Table156[[#This Row],[Commercial Bid Price per case for NOI ($)]]-Table156[[#This Row],[Pass-Thru Value per case ($)]])+Table156[[#This Row],[Region 2: Fixed Fee Per Case ($)]]</f>
        <v>0</v>
      </c>
      <c r="V71" s="24" t="e">
        <f>(Table156[[#This Row],[Commercial Bid Price per case for NOI ($)]]+Table156[[#This Row],[Region 2: Fixed Fee Per Case ($)]])/Table156[[#This Row],['# of CN Servings per case]]</f>
        <v>#DIV/0!</v>
      </c>
      <c r="W71" s="20" t="e">
        <f>Table156[[#This Row],[Total Cost Per Serving (N+P)/I]]*Table156[[#This Row],[Estimated Servings Annual]]</f>
        <v>#DIV/0!</v>
      </c>
    </row>
    <row r="72" spans="1:23" ht="30.75" thickBot="1" x14ac:dyDescent="0.3">
      <c r="A72" s="46" t="s">
        <v>107</v>
      </c>
      <c r="B72" s="69" t="s">
        <v>108</v>
      </c>
      <c r="C72" s="7" t="s">
        <v>13</v>
      </c>
      <c r="D72" s="7"/>
      <c r="E72" s="7"/>
      <c r="F72" s="7"/>
      <c r="G72" s="7"/>
      <c r="H72" s="7"/>
      <c r="I72" s="7"/>
      <c r="J72" s="96">
        <v>100000</v>
      </c>
      <c r="K72" s="7"/>
      <c r="L72" s="7"/>
      <c r="M72" s="7"/>
      <c r="N72" s="7"/>
      <c r="O72" s="7"/>
      <c r="P72" s="7"/>
      <c r="Q72" s="110"/>
      <c r="R72" s="106">
        <f>(Table156[[#This Row],[Commercial Bid Price per case for NOI ($)]]-Table156[[#This Row],[Pass-Thru Value per case ($)]])+Table156[[#This Row],[Region 1: Fixed Fee Per Case ($)]]</f>
        <v>0</v>
      </c>
      <c r="S72" s="21" t="e">
        <f>(Table156[[#This Row],[Commercial Bid Price per case for NOI ($)]]+Table156[[#This Row],[Region 1: Fixed Fee Per Case ($)]])/Table156[[#This Row],['# of CN Servings per case]]</f>
        <v>#DIV/0!</v>
      </c>
      <c r="T72" s="120" t="e">
        <f>Table156[[#This Row],[Total Cost Per Serving (N+O)/I]]*Table156[[#This Row],[Estimated Servings Annual]]</f>
        <v>#DIV/0!</v>
      </c>
      <c r="U72" s="106">
        <f>(Table156[[#This Row],[Commercial Bid Price per case for NOI ($)]]-Table156[[#This Row],[Pass-Thru Value per case ($)]])+Table156[[#This Row],[Region 2: Fixed Fee Per Case ($)]]</f>
        <v>0</v>
      </c>
      <c r="V72" s="25" t="e">
        <f>(Table156[[#This Row],[Commercial Bid Price per case for NOI ($)]]+Table156[[#This Row],[Region 2: Fixed Fee Per Case ($)]])/Table156[[#This Row],['# of CN Servings per case]]</f>
        <v>#DIV/0!</v>
      </c>
      <c r="W72" s="23" t="e">
        <f>Table156[[#This Row],[Total Cost Per Serving (N+P)/I]]*Table156[[#This Row],[Estimated Servings Annual]]</f>
        <v>#DIV/0!</v>
      </c>
    </row>
  </sheetData>
  <mergeCells count="3">
    <mergeCell ref="E1:G1"/>
    <mergeCell ref="R1:T1"/>
    <mergeCell ref="U1:W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S3" sqref="S3"/>
    </sheetView>
  </sheetViews>
  <sheetFormatPr defaultRowHeight="15" x14ac:dyDescent="0.25"/>
  <cols>
    <col min="1" max="1" width="16" customWidth="1"/>
    <col min="2" max="2" width="22.42578125" customWidth="1"/>
    <col min="3" max="3" width="20.5703125" customWidth="1"/>
    <col min="4" max="4" width="21" customWidth="1"/>
    <col min="5" max="5" width="33.5703125" customWidth="1"/>
    <col min="6" max="6" width="18" customWidth="1"/>
    <col min="7" max="7" width="18.140625" customWidth="1"/>
    <col min="8" max="8" width="18" customWidth="1"/>
    <col min="9" max="9" width="16.42578125" customWidth="1"/>
    <col min="10" max="10" width="16.7109375" style="90" customWidth="1"/>
    <col min="11" max="11" width="20.42578125" customWidth="1"/>
    <col min="12" max="12" width="18.7109375" customWidth="1"/>
    <col min="13" max="13" width="16" customWidth="1"/>
    <col min="14" max="14" width="15.140625" customWidth="1"/>
    <col min="15" max="16" width="17.42578125" customWidth="1"/>
    <col min="17" max="17" width="18.5703125" customWidth="1"/>
    <col min="18" max="19" width="16.42578125" customWidth="1"/>
    <col min="20" max="20" width="14.5703125" customWidth="1"/>
    <col min="21" max="22" width="16.42578125" customWidth="1"/>
    <col min="23" max="23" width="14.85546875" customWidth="1"/>
  </cols>
  <sheetData>
    <row r="1" spans="1:23" x14ac:dyDescent="0.25">
      <c r="D1" s="1" t="s">
        <v>149</v>
      </c>
      <c r="E1" s="137" t="str">
        <f>Instructions!A2</f>
        <v xml:space="preserve"> </v>
      </c>
      <c r="F1" s="137"/>
      <c r="G1" s="137"/>
      <c r="R1" s="134" t="s">
        <v>167</v>
      </c>
      <c r="S1" s="135"/>
      <c r="T1" s="136"/>
      <c r="U1" s="134" t="s">
        <v>168</v>
      </c>
      <c r="V1" s="135"/>
      <c r="W1" s="136"/>
    </row>
    <row r="2" spans="1:23" s="1" customFormat="1" ht="45.75" thickBot="1" x14ac:dyDescent="0.3">
      <c r="A2" s="1" t="s">
        <v>14</v>
      </c>
      <c r="B2" s="1" t="s">
        <v>3</v>
      </c>
      <c r="C2" s="1" t="s">
        <v>23</v>
      </c>
      <c r="D2" s="1" t="s">
        <v>154</v>
      </c>
      <c r="E2" s="1" t="s">
        <v>0</v>
      </c>
      <c r="F2" s="1" t="s">
        <v>4</v>
      </c>
      <c r="G2" s="1" t="s">
        <v>20</v>
      </c>
      <c r="H2" s="1" t="s">
        <v>1</v>
      </c>
      <c r="I2" s="1" t="s">
        <v>5</v>
      </c>
      <c r="J2" s="91" t="s">
        <v>6</v>
      </c>
      <c r="K2" s="1" t="s">
        <v>2</v>
      </c>
      <c r="L2" s="1" t="s">
        <v>21</v>
      </c>
      <c r="M2" s="71" t="s">
        <v>153</v>
      </c>
      <c r="N2" s="1" t="s">
        <v>22</v>
      </c>
      <c r="O2" s="1" t="s">
        <v>165</v>
      </c>
      <c r="P2" s="1" t="s">
        <v>166</v>
      </c>
      <c r="Q2" s="1" t="s">
        <v>19</v>
      </c>
      <c r="R2" s="101" t="s">
        <v>162</v>
      </c>
      <c r="S2" s="102" t="s">
        <v>163</v>
      </c>
      <c r="T2" s="103" t="s">
        <v>171</v>
      </c>
      <c r="U2" s="101" t="s">
        <v>169</v>
      </c>
      <c r="V2" s="102" t="s">
        <v>170</v>
      </c>
      <c r="W2" s="103" t="s">
        <v>172</v>
      </c>
    </row>
    <row r="3" spans="1:23" x14ac:dyDescent="0.25">
      <c r="A3" s="37" t="s">
        <v>53</v>
      </c>
      <c r="B3" s="2" t="s">
        <v>54</v>
      </c>
      <c r="C3" s="3" t="s">
        <v>58</v>
      </c>
      <c r="D3" s="4"/>
      <c r="E3" s="4"/>
      <c r="F3" s="4"/>
      <c r="G3" s="4"/>
      <c r="H3" s="4"/>
      <c r="I3" s="4"/>
      <c r="J3" s="92">
        <v>550000</v>
      </c>
      <c r="K3" s="4"/>
      <c r="L3" s="4"/>
      <c r="M3" s="4"/>
      <c r="N3" s="4"/>
      <c r="O3" s="4"/>
      <c r="P3" s="4"/>
      <c r="Q3" s="109"/>
      <c r="R3" s="104">
        <f>(Table1567[[#This Row],[Commercial Bid Price per case for NOI ($)]]-Table1567[[#This Row],[Pass-Thru Value per case ($)]])+Table1567[[#This Row],[Region 1: Fixed Fee Per Case ($)]]</f>
        <v>0</v>
      </c>
      <c r="S3" s="15" t="e">
        <f>(Table1567[[#This Row],[Commercial Bid Price per case for NOI ($)]]+Table1567[[#This Row],[Region 1: Fixed Fee Per Case ($)]])/Table1567[[#This Row],['# of CN Servings per case]]</f>
        <v>#DIV/0!</v>
      </c>
      <c r="T3" s="115" t="e">
        <f>Table1567[[#This Row],[Total Cost Per Serving (N+O)/I]]*Table1567[[#This Row],[Estimated Servings Annual]]</f>
        <v>#DIV/0!</v>
      </c>
      <c r="U3" s="104">
        <f>(Table1567[[#This Row],[Commercial Bid Price per case for NOI ($)]]-Table1567[[#This Row],[Pass-Thru Value per case ($)]])+Table1567[[#This Row],[Region 2: Fixed Fee Per Case ($)]]</f>
        <v>0</v>
      </c>
      <c r="V3" s="16" t="e">
        <f>(Table1567[[#This Row],[Commercial Bid Price per case for NOI ($)]]+Table1567[[#This Row],[Region 2: Fixed Fee Per Case ($)]])/Table1567[[#This Row],['# of CN Servings per case]]</f>
        <v>#DIV/0!</v>
      </c>
      <c r="W3" s="17" t="e">
        <f>Table1567[[#This Row],[Total Cost Per Serving (N+P)/I]]*Table1567[[#This Row],[Estimated Servings Annual]]</f>
        <v>#DIV/0!</v>
      </c>
    </row>
    <row r="4" spans="1:23" x14ac:dyDescent="0.25">
      <c r="A4" s="38" t="s">
        <v>53</v>
      </c>
      <c r="B4" s="5" t="s">
        <v>54</v>
      </c>
      <c r="C4" s="6" t="s">
        <v>58</v>
      </c>
      <c r="D4" s="7"/>
      <c r="E4" s="7"/>
      <c r="F4" s="7"/>
      <c r="G4" s="7"/>
      <c r="H4" s="7"/>
      <c r="I4" s="7"/>
      <c r="J4" s="93">
        <v>550000</v>
      </c>
      <c r="K4" s="7"/>
      <c r="L4" s="7"/>
      <c r="M4" s="7"/>
      <c r="N4" s="7"/>
      <c r="O4" s="7"/>
      <c r="P4" s="7"/>
      <c r="Q4" s="110"/>
      <c r="R4" s="105">
        <f>(Table1567[[#This Row],[Commercial Bid Price per case for NOI ($)]]-Table1567[[#This Row],[Pass-Thru Value per case ($)]])+Table1567[[#This Row],[Region 1: Fixed Fee Per Case ($)]]</f>
        <v>0</v>
      </c>
      <c r="S4" s="18" t="e">
        <f>(Table1567[[#This Row],[Commercial Bid Price per case for NOI ($)]]+Table1567[[#This Row],[Region 1: Fixed Fee Per Case ($)]])/Table1567[[#This Row],['# of CN Servings per case]]</f>
        <v>#DIV/0!</v>
      </c>
      <c r="T4" s="118" t="e">
        <f>Table1567[[#This Row],[Total Cost Per Serving (N+O)/I]]*Table1567[[#This Row],[Estimated Servings Annual]]</f>
        <v>#DIV/0!</v>
      </c>
      <c r="U4" s="105">
        <f>(Table1567[[#This Row],[Commercial Bid Price per case for NOI ($)]]-Table1567[[#This Row],[Pass-Thru Value per case ($)]])+Table1567[[#This Row],[Region 2: Fixed Fee Per Case ($)]]</f>
        <v>0</v>
      </c>
      <c r="V4" s="19" t="e">
        <f>(Table1567[[#This Row],[Commercial Bid Price per case for NOI ($)]]+Table1567[[#This Row],[Region 2: Fixed Fee Per Case ($)]])/Table1567[[#This Row],['# of CN Servings per case]]</f>
        <v>#DIV/0!</v>
      </c>
      <c r="W4" s="20" t="e">
        <f>Table1567[[#This Row],[Total Cost Per Serving (N+P)/I]]*Table1567[[#This Row],[Estimated Servings Annual]]</f>
        <v>#DIV/0!</v>
      </c>
    </row>
    <row r="5" spans="1:23" x14ac:dyDescent="0.25">
      <c r="A5" s="38" t="s">
        <v>53</v>
      </c>
      <c r="B5" s="5" t="s">
        <v>54</v>
      </c>
      <c r="C5" s="6" t="s">
        <v>59</v>
      </c>
      <c r="D5" s="7"/>
      <c r="E5" s="7"/>
      <c r="F5" s="7"/>
      <c r="G5" s="7"/>
      <c r="H5" s="7"/>
      <c r="I5" s="7"/>
      <c r="J5" s="93">
        <v>550000</v>
      </c>
      <c r="K5" s="7"/>
      <c r="L5" s="7"/>
      <c r="M5" s="7"/>
      <c r="N5" s="7"/>
      <c r="O5" s="7"/>
      <c r="P5" s="7"/>
      <c r="Q5" s="110"/>
      <c r="R5" s="105">
        <f>(Table1567[[#This Row],[Commercial Bid Price per case for NOI ($)]]-Table1567[[#This Row],[Pass-Thru Value per case ($)]])+Table1567[[#This Row],[Region 1: Fixed Fee Per Case ($)]]</f>
        <v>0</v>
      </c>
      <c r="S5" s="18" t="e">
        <f>(Table1567[[#This Row],[Commercial Bid Price per case for NOI ($)]]+Table1567[[#This Row],[Region 1: Fixed Fee Per Case ($)]])/Table1567[[#This Row],['# of CN Servings per case]]</f>
        <v>#DIV/0!</v>
      </c>
      <c r="T5" s="118" t="e">
        <f>Table1567[[#This Row],[Total Cost Per Serving (N+O)/I]]*Table1567[[#This Row],[Estimated Servings Annual]]</f>
        <v>#DIV/0!</v>
      </c>
      <c r="U5" s="105">
        <f>(Table1567[[#This Row],[Commercial Bid Price per case for NOI ($)]]-Table1567[[#This Row],[Pass-Thru Value per case ($)]])+Table1567[[#This Row],[Region 2: Fixed Fee Per Case ($)]]</f>
        <v>0</v>
      </c>
      <c r="V5" s="19" t="e">
        <f>(Table1567[[#This Row],[Commercial Bid Price per case for NOI ($)]]+Table1567[[#This Row],[Region 2: Fixed Fee Per Case ($)]])/Table1567[[#This Row],['# of CN Servings per case]]</f>
        <v>#DIV/0!</v>
      </c>
      <c r="W5" s="20" t="e">
        <f>Table1567[[#This Row],[Total Cost Per Serving (N+P)/I]]*Table1567[[#This Row],[Estimated Servings Annual]]</f>
        <v>#DIV/0!</v>
      </c>
    </row>
    <row r="6" spans="1:23" x14ac:dyDescent="0.25">
      <c r="A6" s="38" t="s">
        <v>53</v>
      </c>
      <c r="B6" s="5" t="s">
        <v>54</v>
      </c>
      <c r="C6" s="6" t="s">
        <v>59</v>
      </c>
      <c r="D6" s="7"/>
      <c r="E6" s="7"/>
      <c r="F6" s="7"/>
      <c r="G6" s="7"/>
      <c r="H6" s="7"/>
      <c r="I6" s="7"/>
      <c r="J6" s="93">
        <v>550000</v>
      </c>
      <c r="K6" s="7"/>
      <c r="L6" s="7"/>
      <c r="M6" s="7"/>
      <c r="N6" s="7"/>
      <c r="O6" s="7"/>
      <c r="P6" s="7"/>
      <c r="Q6" s="110"/>
      <c r="R6" s="105">
        <f>(Table1567[[#This Row],[Commercial Bid Price per case for NOI ($)]]-Table1567[[#This Row],[Pass-Thru Value per case ($)]])+Table1567[[#This Row],[Region 1: Fixed Fee Per Case ($)]]</f>
        <v>0</v>
      </c>
      <c r="S6" s="18" t="e">
        <f>(Table1567[[#This Row],[Commercial Bid Price per case for NOI ($)]]+Table1567[[#This Row],[Region 1: Fixed Fee Per Case ($)]])/Table1567[[#This Row],['# of CN Servings per case]]</f>
        <v>#DIV/0!</v>
      </c>
      <c r="T6" s="118" t="e">
        <f>Table1567[[#This Row],[Total Cost Per Serving (N+O)/I]]*Table1567[[#This Row],[Estimated Servings Annual]]</f>
        <v>#DIV/0!</v>
      </c>
      <c r="U6" s="105">
        <f>(Table1567[[#This Row],[Commercial Bid Price per case for NOI ($)]]-Table1567[[#This Row],[Pass-Thru Value per case ($)]])+Table1567[[#This Row],[Region 2: Fixed Fee Per Case ($)]]</f>
        <v>0</v>
      </c>
      <c r="V6" s="19" t="e">
        <f>(Table1567[[#This Row],[Commercial Bid Price per case for NOI ($)]]+Table1567[[#This Row],[Region 2: Fixed Fee Per Case ($)]])/Table1567[[#This Row],['# of CN Servings per case]]</f>
        <v>#DIV/0!</v>
      </c>
      <c r="W6" s="20" t="e">
        <f>Table1567[[#This Row],[Total Cost Per Serving (N+P)/I]]*Table1567[[#This Row],[Estimated Servings Annual]]</f>
        <v>#DIV/0!</v>
      </c>
    </row>
    <row r="7" spans="1:23" x14ac:dyDescent="0.25">
      <c r="A7" s="38" t="s">
        <v>53</v>
      </c>
      <c r="B7" s="5" t="s">
        <v>54</v>
      </c>
      <c r="C7" s="7" t="s">
        <v>13</v>
      </c>
      <c r="D7" s="7"/>
      <c r="E7" s="7"/>
      <c r="F7" s="7"/>
      <c r="G7" s="7"/>
      <c r="H7" s="7"/>
      <c r="I7" s="7"/>
      <c r="J7" s="93">
        <v>550000</v>
      </c>
      <c r="K7" s="7"/>
      <c r="L7" s="7"/>
      <c r="M7" s="7"/>
      <c r="N7" s="7"/>
      <c r="O7" s="7"/>
      <c r="P7" s="7"/>
      <c r="Q7" s="110"/>
      <c r="R7" s="105">
        <f>(Table1567[[#This Row],[Commercial Bid Price per case for NOI ($)]]-Table1567[[#This Row],[Pass-Thru Value per case ($)]])+Table1567[[#This Row],[Region 1: Fixed Fee Per Case ($)]]</f>
        <v>0</v>
      </c>
      <c r="S7" s="18" t="e">
        <f>(Table1567[[#This Row],[Commercial Bid Price per case for NOI ($)]]+Table1567[[#This Row],[Region 1: Fixed Fee Per Case ($)]])/Table1567[[#This Row],['# of CN Servings per case]]</f>
        <v>#DIV/0!</v>
      </c>
      <c r="T7" s="118" t="e">
        <f>Table1567[[#This Row],[Total Cost Per Serving (N+O)/I]]*Table1567[[#This Row],[Estimated Servings Annual]]</f>
        <v>#DIV/0!</v>
      </c>
      <c r="U7" s="105">
        <f>(Table1567[[#This Row],[Commercial Bid Price per case for NOI ($)]]-Table1567[[#This Row],[Pass-Thru Value per case ($)]])+Table1567[[#This Row],[Region 2: Fixed Fee Per Case ($)]]</f>
        <v>0</v>
      </c>
      <c r="V7" s="19" t="e">
        <f>(Table1567[[#This Row],[Commercial Bid Price per case for NOI ($)]]+Table1567[[#This Row],[Region 2: Fixed Fee Per Case ($)]])/Table1567[[#This Row],['# of CN Servings per case]]</f>
        <v>#DIV/0!</v>
      </c>
      <c r="W7" s="20" t="e">
        <f>Table1567[[#This Row],[Total Cost Per Serving (N+P)/I]]*Table1567[[#This Row],[Estimated Servings Annual]]</f>
        <v>#DIV/0!</v>
      </c>
    </row>
    <row r="8" spans="1:23" x14ac:dyDescent="0.25">
      <c r="A8" s="38" t="s">
        <v>53</v>
      </c>
      <c r="B8" s="5" t="s">
        <v>54</v>
      </c>
      <c r="C8" s="7" t="s">
        <v>13</v>
      </c>
      <c r="D8" s="7"/>
      <c r="E8" s="7"/>
      <c r="F8" s="7"/>
      <c r="G8" s="7"/>
      <c r="H8" s="7"/>
      <c r="I8" s="7"/>
      <c r="J8" s="93">
        <v>550000</v>
      </c>
      <c r="K8" s="7"/>
      <c r="L8" s="7"/>
      <c r="M8" s="7"/>
      <c r="N8" s="7"/>
      <c r="O8" s="7"/>
      <c r="P8" s="7"/>
      <c r="Q8" s="110"/>
      <c r="R8" s="105">
        <f>(Table1567[[#This Row],[Commercial Bid Price per case for NOI ($)]]-Table1567[[#This Row],[Pass-Thru Value per case ($)]])+Table1567[[#This Row],[Region 1: Fixed Fee Per Case ($)]]</f>
        <v>0</v>
      </c>
      <c r="S8" s="18" t="e">
        <f>(Table1567[[#This Row],[Commercial Bid Price per case for NOI ($)]]+Table1567[[#This Row],[Region 1: Fixed Fee Per Case ($)]])/Table1567[[#This Row],['# of CN Servings per case]]</f>
        <v>#DIV/0!</v>
      </c>
      <c r="T8" s="118" t="e">
        <f>Table1567[[#This Row],[Total Cost Per Serving (N+O)/I]]*Table1567[[#This Row],[Estimated Servings Annual]]</f>
        <v>#DIV/0!</v>
      </c>
      <c r="U8" s="105">
        <f>(Table1567[[#This Row],[Commercial Bid Price per case for NOI ($)]]-Table1567[[#This Row],[Pass-Thru Value per case ($)]])+Table1567[[#This Row],[Region 2: Fixed Fee Per Case ($)]]</f>
        <v>0</v>
      </c>
      <c r="V8" s="19" t="e">
        <f>(Table1567[[#This Row],[Commercial Bid Price per case for NOI ($)]]+Table1567[[#This Row],[Region 2: Fixed Fee Per Case ($)]])/Table1567[[#This Row],['# of CN Servings per case]]</f>
        <v>#DIV/0!</v>
      </c>
      <c r="W8" s="20" t="e">
        <f>Table1567[[#This Row],[Total Cost Per Serving (N+P)/I]]*Table1567[[#This Row],[Estimated Servings Annual]]</f>
        <v>#DIV/0!</v>
      </c>
    </row>
    <row r="9" spans="1:23" x14ac:dyDescent="0.25">
      <c r="A9" s="38" t="s">
        <v>53</v>
      </c>
      <c r="B9" s="5" t="s">
        <v>54</v>
      </c>
      <c r="C9" s="7" t="s">
        <v>13</v>
      </c>
      <c r="D9" s="7"/>
      <c r="E9" s="7"/>
      <c r="F9" s="7"/>
      <c r="G9" s="7"/>
      <c r="H9" s="7"/>
      <c r="I9" s="7"/>
      <c r="J9" s="93">
        <v>550000</v>
      </c>
      <c r="K9" s="7"/>
      <c r="L9" s="7"/>
      <c r="M9" s="7"/>
      <c r="N9" s="7"/>
      <c r="O9" s="7"/>
      <c r="P9" s="7"/>
      <c r="Q9" s="110"/>
      <c r="R9" s="105">
        <f>(Table1567[[#This Row],[Commercial Bid Price per case for NOI ($)]]-Table1567[[#This Row],[Pass-Thru Value per case ($)]])+Table1567[[#This Row],[Region 1: Fixed Fee Per Case ($)]]</f>
        <v>0</v>
      </c>
      <c r="S9" s="18" t="e">
        <f>(Table1567[[#This Row],[Commercial Bid Price per case for NOI ($)]]+Table1567[[#This Row],[Region 1: Fixed Fee Per Case ($)]])/Table1567[[#This Row],['# of CN Servings per case]]</f>
        <v>#DIV/0!</v>
      </c>
      <c r="T9" s="118" t="e">
        <f>Table1567[[#This Row],[Total Cost Per Serving (N+O)/I]]*Table1567[[#This Row],[Estimated Servings Annual]]</f>
        <v>#DIV/0!</v>
      </c>
      <c r="U9" s="105">
        <f>(Table1567[[#This Row],[Commercial Bid Price per case for NOI ($)]]-Table1567[[#This Row],[Pass-Thru Value per case ($)]])+Table1567[[#This Row],[Region 2: Fixed Fee Per Case ($)]]</f>
        <v>0</v>
      </c>
      <c r="V9" s="19" t="e">
        <f>(Table1567[[#This Row],[Commercial Bid Price per case for NOI ($)]]+Table1567[[#This Row],[Region 2: Fixed Fee Per Case ($)]])/Table1567[[#This Row],['# of CN Servings per case]]</f>
        <v>#DIV/0!</v>
      </c>
      <c r="W9" s="20" t="e">
        <f>Table1567[[#This Row],[Total Cost Per Serving (N+P)/I]]*Table1567[[#This Row],[Estimated Servings Annual]]</f>
        <v>#DIV/0!</v>
      </c>
    </row>
    <row r="10" spans="1:23" ht="15.75" thickBot="1" x14ac:dyDescent="0.3">
      <c r="A10" s="38" t="s">
        <v>53</v>
      </c>
      <c r="B10" s="8" t="s">
        <v>54</v>
      </c>
      <c r="C10" s="9" t="s">
        <v>13</v>
      </c>
      <c r="D10" s="9"/>
      <c r="E10" s="9"/>
      <c r="F10" s="9"/>
      <c r="G10" s="9"/>
      <c r="H10" s="9"/>
      <c r="I10" s="9"/>
      <c r="J10" s="94">
        <v>550000</v>
      </c>
      <c r="K10" s="9"/>
      <c r="L10" s="9"/>
      <c r="M10" s="9"/>
      <c r="N10" s="9"/>
      <c r="O10" s="9"/>
      <c r="P10" s="9"/>
      <c r="Q10" s="111"/>
      <c r="R10" s="106">
        <f>(Table1567[[#This Row],[Commercial Bid Price per case for NOI ($)]]-Table1567[[#This Row],[Pass-Thru Value per case ($)]])+Table1567[[#This Row],[Region 1: Fixed Fee Per Case ($)]]</f>
        <v>0</v>
      </c>
      <c r="S10" s="21" t="e">
        <f>(Table1567[[#This Row],[Commercial Bid Price per case for NOI ($)]]+Table1567[[#This Row],[Region 1: Fixed Fee Per Case ($)]])/Table1567[[#This Row],['# of CN Servings per case]]</f>
        <v>#DIV/0!</v>
      </c>
      <c r="T10" s="120" t="e">
        <f>Table1567[[#This Row],[Total Cost Per Serving (N+O)/I]]*Table1567[[#This Row],[Estimated Servings Annual]]</f>
        <v>#DIV/0!</v>
      </c>
      <c r="U10" s="106">
        <f>(Table1567[[#This Row],[Commercial Bid Price per case for NOI ($)]]-Table1567[[#This Row],[Pass-Thru Value per case ($)]])+Table1567[[#This Row],[Region 2: Fixed Fee Per Case ($)]]</f>
        <v>0</v>
      </c>
      <c r="V10" s="22" t="e">
        <f>(Table1567[[#This Row],[Commercial Bid Price per case for NOI ($)]]+Table1567[[#This Row],[Region 2: Fixed Fee Per Case ($)]])/Table1567[[#This Row],['# of CN Servings per case]]</f>
        <v>#DIV/0!</v>
      </c>
      <c r="W10" s="23" t="e">
        <f>Table1567[[#This Row],[Total Cost Per Serving (N+P)/I]]*Table1567[[#This Row],[Estimated Servings Annual]]</f>
        <v>#DIV/0!</v>
      </c>
    </row>
    <row r="11" spans="1:23" x14ac:dyDescent="0.25">
      <c r="A11" s="38" t="s">
        <v>53</v>
      </c>
      <c r="B11" s="2" t="s">
        <v>55</v>
      </c>
      <c r="C11" s="3" t="s">
        <v>58</v>
      </c>
      <c r="D11" s="4"/>
      <c r="E11" s="4"/>
      <c r="F11" s="4"/>
      <c r="G11" s="4"/>
      <c r="H11" s="4"/>
      <c r="I11" s="4"/>
      <c r="J11" s="92">
        <v>550000</v>
      </c>
      <c r="K11" s="4"/>
      <c r="L11" s="4"/>
      <c r="M11" s="4"/>
      <c r="N11" s="4"/>
      <c r="O11" s="4"/>
      <c r="P11" s="4"/>
      <c r="Q11" s="109"/>
      <c r="R11" s="104">
        <f>(Table1567[[#This Row],[Commercial Bid Price per case for NOI ($)]]-Table1567[[#This Row],[Pass-Thru Value per case ($)]])+Table1567[[#This Row],[Region 1: Fixed Fee Per Case ($)]]</f>
        <v>0</v>
      </c>
      <c r="S11" s="15" t="e">
        <f>(Table1567[[#This Row],[Commercial Bid Price per case for NOI ($)]]+Table1567[[#This Row],[Region 1: Fixed Fee Per Case ($)]])/Table1567[[#This Row],['# of CN Servings per case]]</f>
        <v>#DIV/0!</v>
      </c>
      <c r="T11" s="115" t="e">
        <f>Table1567[[#This Row],[Total Cost Per Serving (N+O)/I]]*Table1567[[#This Row],[Estimated Servings Annual]]</f>
        <v>#DIV/0!</v>
      </c>
      <c r="U11" s="104">
        <f>(Table1567[[#This Row],[Commercial Bid Price per case for NOI ($)]]-Table1567[[#This Row],[Pass-Thru Value per case ($)]])+Table1567[[#This Row],[Region 2: Fixed Fee Per Case ($)]]</f>
        <v>0</v>
      </c>
      <c r="V11" s="16" t="e">
        <f>(Table1567[[#This Row],[Commercial Bid Price per case for NOI ($)]]+Table1567[[#This Row],[Region 2: Fixed Fee Per Case ($)]])/Table1567[[#This Row],['# of CN Servings per case]]</f>
        <v>#DIV/0!</v>
      </c>
      <c r="W11" s="17" t="e">
        <f>Table1567[[#This Row],[Total Cost Per Serving (N+P)/I]]*Table1567[[#This Row],[Estimated Servings Annual]]</f>
        <v>#DIV/0!</v>
      </c>
    </row>
    <row r="12" spans="1:23" x14ac:dyDescent="0.25">
      <c r="A12" s="38" t="s">
        <v>53</v>
      </c>
      <c r="B12" s="5" t="s">
        <v>55</v>
      </c>
      <c r="C12" s="6" t="s">
        <v>58</v>
      </c>
      <c r="D12" s="7"/>
      <c r="E12" s="7"/>
      <c r="F12" s="7"/>
      <c r="G12" s="7"/>
      <c r="H12" s="7"/>
      <c r="I12" s="7"/>
      <c r="J12" s="93">
        <v>550000</v>
      </c>
      <c r="K12" s="7"/>
      <c r="L12" s="7"/>
      <c r="M12" s="7"/>
      <c r="N12" s="7"/>
      <c r="O12" s="7"/>
      <c r="P12" s="7"/>
      <c r="Q12" s="110"/>
      <c r="R12" s="105">
        <f>(Table1567[[#This Row],[Commercial Bid Price per case for NOI ($)]]-Table1567[[#This Row],[Pass-Thru Value per case ($)]])+Table1567[[#This Row],[Region 1: Fixed Fee Per Case ($)]]</f>
        <v>0</v>
      </c>
      <c r="S12" s="18" t="e">
        <f>(Table1567[[#This Row],[Commercial Bid Price per case for NOI ($)]]+Table1567[[#This Row],[Region 1: Fixed Fee Per Case ($)]])/Table1567[[#This Row],['# of CN Servings per case]]</f>
        <v>#DIV/0!</v>
      </c>
      <c r="T12" s="118" t="e">
        <f>Table1567[[#This Row],[Total Cost Per Serving (N+O)/I]]*Table1567[[#This Row],[Estimated Servings Annual]]</f>
        <v>#DIV/0!</v>
      </c>
      <c r="U12" s="105">
        <f>(Table1567[[#This Row],[Commercial Bid Price per case for NOI ($)]]-Table1567[[#This Row],[Pass-Thru Value per case ($)]])+Table1567[[#This Row],[Region 2: Fixed Fee Per Case ($)]]</f>
        <v>0</v>
      </c>
      <c r="V12" s="19" t="e">
        <f>(Table1567[[#This Row],[Commercial Bid Price per case for NOI ($)]]+Table1567[[#This Row],[Region 2: Fixed Fee Per Case ($)]])/Table1567[[#This Row],['# of CN Servings per case]]</f>
        <v>#DIV/0!</v>
      </c>
      <c r="W12" s="20" t="e">
        <f>Table1567[[#This Row],[Total Cost Per Serving (N+P)/I]]*Table1567[[#This Row],[Estimated Servings Annual]]</f>
        <v>#DIV/0!</v>
      </c>
    </row>
    <row r="13" spans="1:23" x14ac:dyDescent="0.25">
      <c r="A13" s="38" t="s">
        <v>53</v>
      </c>
      <c r="B13" s="5" t="s">
        <v>55</v>
      </c>
      <c r="C13" s="6" t="s">
        <v>59</v>
      </c>
      <c r="D13" s="7"/>
      <c r="E13" s="7"/>
      <c r="F13" s="7"/>
      <c r="G13" s="7"/>
      <c r="H13" s="7"/>
      <c r="I13" s="7"/>
      <c r="J13" s="93">
        <v>550000</v>
      </c>
      <c r="K13" s="7"/>
      <c r="L13" s="7"/>
      <c r="M13" s="7"/>
      <c r="N13" s="7"/>
      <c r="O13" s="7"/>
      <c r="P13" s="7"/>
      <c r="Q13" s="110"/>
      <c r="R13" s="105">
        <f>(Table1567[[#This Row],[Commercial Bid Price per case for NOI ($)]]-Table1567[[#This Row],[Pass-Thru Value per case ($)]])+Table1567[[#This Row],[Region 1: Fixed Fee Per Case ($)]]</f>
        <v>0</v>
      </c>
      <c r="S13" s="18" t="e">
        <f>(Table1567[[#This Row],[Commercial Bid Price per case for NOI ($)]]+Table1567[[#This Row],[Region 1: Fixed Fee Per Case ($)]])/Table1567[[#This Row],['# of CN Servings per case]]</f>
        <v>#DIV/0!</v>
      </c>
      <c r="T13" s="118" t="e">
        <f>Table1567[[#This Row],[Total Cost Per Serving (N+O)/I]]*Table1567[[#This Row],[Estimated Servings Annual]]</f>
        <v>#DIV/0!</v>
      </c>
      <c r="U13" s="105">
        <f>(Table1567[[#This Row],[Commercial Bid Price per case for NOI ($)]]-Table1567[[#This Row],[Pass-Thru Value per case ($)]])+Table1567[[#This Row],[Region 2: Fixed Fee Per Case ($)]]</f>
        <v>0</v>
      </c>
      <c r="V13" s="19" t="e">
        <f>(Table1567[[#This Row],[Commercial Bid Price per case for NOI ($)]]+Table1567[[#This Row],[Region 2: Fixed Fee Per Case ($)]])/Table1567[[#This Row],['# of CN Servings per case]]</f>
        <v>#DIV/0!</v>
      </c>
      <c r="W13" s="20" t="e">
        <f>Table1567[[#This Row],[Total Cost Per Serving (N+P)/I]]*Table1567[[#This Row],[Estimated Servings Annual]]</f>
        <v>#DIV/0!</v>
      </c>
    </row>
    <row r="14" spans="1:23" x14ac:dyDescent="0.25">
      <c r="A14" s="38" t="s">
        <v>53</v>
      </c>
      <c r="B14" s="5" t="s">
        <v>55</v>
      </c>
      <c r="C14" s="6" t="s">
        <v>59</v>
      </c>
      <c r="D14" s="7"/>
      <c r="E14" s="7"/>
      <c r="F14" s="7"/>
      <c r="G14" s="7"/>
      <c r="H14" s="7"/>
      <c r="I14" s="7"/>
      <c r="J14" s="93">
        <v>550000</v>
      </c>
      <c r="K14" s="7"/>
      <c r="L14" s="7"/>
      <c r="M14" s="7"/>
      <c r="N14" s="7"/>
      <c r="O14" s="7"/>
      <c r="P14" s="7"/>
      <c r="Q14" s="110"/>
      <c r="R14" s="105">
        <f>(Table1567[[#This Row],[Commercial Bid Price per case for NOI ($)]]-Table1567[[#This Row],[Pass-Thru Value per case ($)]])+Table1567[[#This Row],[Region 1: Fixed Fee Per Case ($)]]</f>
        <v>0</v>
      </c>
      <c r="S14" s="18" t="e">
        <f>(Table1567[[#This Row],[Commercial Bid Price per case for NOI ($)]]+Table1567[[#This Row],[Region 1: Fixed Fee Per Case ($)]])/Table1567[[#This Row],['# of CN Servings per case]]</f>
        <v>#DIV/0!</v>
      </c>
      <c r="T14" s="118" t="e">
        <f>Table1567[[#This Row],[Total Cost Per Serving (N+O)/I]]*Table1567[[#This Row],[Estimated Servings Annual]]</f>
        <v>#DIV/0!</v>
      </c>
      <c r="U14" s="105">
        <f>(Table1567[[#This Row],[Commercial Bid Price per case for NOI ($)]]-Table1567[[#This Row],[Pass-Thru Value per case ($)]])+Table1567[[#This Row],[Region 2: Fixed Fee Per Case ($)]]</f>
        <v>0</v>
      </c>
      <c r="V14" s="19" t="e">
        <f>(Table1567[[#This Row],[Commercial Bid Price per case for NOI ($)]]+Table1567[[#This Row],[Region 2: Fixed Fee Per Case ($)]])/Table1567[[#This Row],['# of CN Servings per case]]</f>
        <v>#DIV/0!</v>
      </c>
      <c r="W14" s="20" t="e">
        <f>Table1567[[#This Row],[Total Cost Per Serving (N+P)/I]]*Table1567[[#This Row],[Estimated Servings Annual]]</f>
        <v>#DIV/0!</v>
      </c>
    </row>
    <row r="15" spans="1:23" x14ac:dyDescent="0.25">
      <c r="A15" s="38" t="s">
        <v>53</v>
      </c>
      <c r="B15" s="5" t="s">
        <v>55</v>
      </c>
      <c r="C15" s="7" t="s">
        <v>13</v>
      </c>
      <c r="D15" s="7"/>
      <c r="E15" s="7"/>
      <c r="F15" s="7"/>
      <c r="G15" s="7"/>
      <c r="H15" s="7"/>
      <c r="I15" s="7"/>
      <c r="J15" s="93">
        <v>550000</v>
      </c>
      <c r="K15" s="7"/>
      <c r="L15" s="7"/>
      <c r="M15" s="7"/>
      <c r="N15" s="7"/>
      <c r="O15" s="7"/>
      <c r="P15" s="7"/>
      <c r="Q15" s="110"/>
      <c r="R15" s="105">
        <f>(Table1567[[#This Row],[Commercial Bid Price per case for NOI ($)]]-Table1567[[#This Row],[Pass-Thru Value per case ($)]])+Table1567[[#This Row],[Region 1: Fixed Fee Per Case ($)]]</f>
        <v>0</v>
      </c>
      <c r="S15" s="18" t="e">
        <f>(Table1567[[#This Row],[Commercial Bid Price per case for NOI ($)]]+Table1567[[#This Row],[Region 1: Fixed Fee Per Case ($)]])/Table1567[[#This Row],['# of CN Servings per case]]</f>
        <v>#DIV/0!</v>
      </c>
      <c r="T15" s="118" t="e">
        <f>Table1567[[#This Row],[Total Cost Per Serving (N+O)/I]]*Table1567[[#This Row],[Estimated Servings Annual]]</f>
        <v>#DIV/0!</v>
      </c>
      <c r="U15" s="105">
        <f>(Table1567[[#This Row],[Commercial Bid Price per case for NOI ($)]]-Table1567[[#This Row],[Pass-Thru Value per case ($)]])+Table1567[[#This Row],[Region 2: Fixed Fee Per Case ($)]]</f>
        <v>0</v>
      </c>
      <c r="V15" s="19" t="e">
        <f>(Table1567[[#This Row],[Commercial Bid Price per case for NOI ($)]]+Table1567[[#This Row],[Region 2: Fixed Fee Per Case ($)]])/Table1567[[#This Row],['# of CN Servings per case]]</f>
        <v>#DIV/0!</v>
      </c>
      <c r="W15" s="20" t="e">
        <f>Table1567[[#This Row],[Total Cost Per Serving (N+P)/I]]*Table1567[[#This Row],[Estimated Servings Annual]]</f>
        <v>#DIV/0!</v>
      </c>
    </row>
    <row r="16" spans="1:23" x14ac:dyDescent="0.25">
      <c r="A16" s="38" t="s">
        <v>53</v>
      </c>
      <c r="B16" s="5" t="s">
        <v>55</v>
      </c>
      <c r="C16" s="7" t="s">
        <v>13</v>
      </c>
      <c r="D16" s="7"/>
      <c r="E16" s="7"/>
      <c r="F16" s="7"/>
      <c r="G16" s="7"/>
      <c r="H16" s="7"/>
      <c r="I16" s="7"/>
      <c r="J16" s="93">
        <v>550000</v>
      </c>
      <c r="K16" s="7"/>
      <c r="L16" s="7"/>
      <c r="M16" s="7"/>
      <c r="N16" s="7"/>
      <c r="O16" s="7"/>
      <c r="P16" s="7"/>
      <c r="Q16" s="110"/>
      <c r="R16" s="105">
        <f>(Table1567[[#This Row],[Commercial Bid Price per case for NOI ($)]]-Table1567[[#This Row],[Pass-Thru Value per case ($)]])+Table1567[[#This Row],[Region 1: Fixed Fee Per Case ($)]]</f>
        <v>0</v>
      </c>
      <c r="S16" s="18" t="e">
        <f>(Table1567[[#This Row],[Commercial Bid Price per case for NOI ($)]]+Table1567[[#This Row],[Region 1: Fixed Fee Per Case ($)]])/Table1567[[#This Row],['# of CN Servings per case]]</f>
        <v>#DIV/0!</v>
      </c>
      <c r="T16" s="118" t="e">
        <f>Table1567[[#This Row],[Total Cost Per Serving (N+O)/I]]*Table1567[[#This Row],[Estimated Servings Annual]]</f>
        <v>#DIV/0!</v>
      </c>
      <c r="U16" s="105">
        <f>(Table1567[[#This Row],[Commercial Bid Price per case for NOI ($)]]-Table1567[[#This Row],[Pass-Thru Value per case ($)]])+Table1567[[#This Row],[Region 2: Fixed Fee Per Case ($)]]</f>
        <v>0</v>
      </c>
      <c r="V16" s="19" t="e">
        <f>(Table1567[[#This Row],[Commercial Bid Price per case for NOI ($)]]+Table1567[[#This Row],[Region 2: Fixed Fee Per Case ($)]])/Table1567[[#This Row],['# of CN Servings per case]]</f>
        <v>#DIV/0!</v>
      </c>
      <c r="W16" s="20" t="e">
        <f>Table1567[[#This Row],[Total Cost Per Serving (N+P)/I]]*Table1567[[#This Row],[Estimated Servings Annual]]</f>
        <v>#DIV/0!</v>
      </c>
    </row>
    <row r="17" spans="1:23" x14ac:dyDescent="0.25">
      <c r="A17" s="38" t="s">
        <v>53</v>
      </c>
      <c r="B17" s="5" t="s">
        <v>55</v>
      </c>
      <c r="C17" s="7" t="s">
        <v>13</v>
      </c>
      <c r="D17" s="7"/>
      <c r="E17" s="7"/>
      <c r="F17" s="7"/>
      <c r="G17" s="7"/>
      <c r="H17" s="7"/>
      <c r="I17" s="7"/>
      <c r="J17" s="93">
        <v>550000</v>
      </c>
      <c r="K17" s="7"/>
      <c r="L17" s="7"/>
      <c r="M17" s="7"/>
      <c r="N17" s="7"/>
      <c r="O17" s="7"/>
      <c r="P17" s="7"/>
      <c r="Q17" s="110"/>
      <c r="R17" s="105">
        <f>(Table1567[[#This Row],[Commercial Bid Price per case for NOI ($)]]-Table1567[[#This Row],[Pass-Thru Value per case ($)]])+Table1567[[#This Row],[Region 1: Fixed Fee Per Case ($)]]</f>
        <v>0</v>
      </c>
      <c r="S17" s="18" t="e">
        <f>(Table1567[[#This Row],[Commercial Bid Price per case for NOI ($)]]+Table1567[[#This Row],[Region 1: Fixed Fee Per Case ($)]])/Table1567[[#This Row],['# of CN Servings per case]]</f>
        <v>#DIV/0!</v>
      </c>
      <c r="T17" s="118" t="e">
        <f>Table1567[[#This Row],[Total Cost Per Serving (N+O)/I]]*Table1567[[#This Row],[Estimated Servings Annual]]</f>
        <v>#DIV/0!</v>
      </c>
      <c r="U17" s="105">
        <f>(Table1567[[#This Row],[Commercial Bid Price per case for NOI ($)]]-Table1567[[#This Row],[Pass-Thru Value per case ($)]])+Table1567[[#This Row],[Region 2: Fixed Fee Per Case ($)]]</f>
        <v>0</v>
      </c>
      <c r="V17" s="19" t="e">
        <f>(Table1567[[#This Row],[Commercial Bid Price per case for NOI ($)]]+Table1567[[#This Row],[Region 2: Fixed Fee Per Case ($)]])/Table1567[[#This Row],['# of CN Servings per case]]</f>
        <v>#DIV/0!</v>
      </c>
      <c r="W17" s="20" t="e">
        <f>Table1567[[#This Row],[Total Cost Per Serving (N+P)/I]]*Table1567[[#This Row],[Estimated Servings Annual]]</f>
        <v>#DIV/0!</v>
      </c>
    </row>
    <row r="18" spans="1:23" ht="15.75" thickBot="1" x14ac:dyDescent="0.3">
      <c r="A18" s="38" t="s">
        <v>53</v>
      </c>
      <c r="B18" s="8" t="s">
        <v>55</v>
      </c>
      <c r="C18" s="9" t="s">
        <v>13</v>
      </c>
      <c r="D18" s="9"/>
      <c r="E18" s="9"/>
      <c r="F18" s="9"/>
      <c r="G18" s="9"/>
      <c r="H18" s="9"/>
      <c r="I18" s="9"/>
      <c r="J18" s="94">
        <v>550000</v>
      </c>
      <c r="K18" s="9"/>
      <c r="L18" s="9"/>
      <c r="M18" s="9"/>
      <c r="N18" s="9"/>
      <c r="O18" s="9"/>
      <c r="P18" s="9"/>
      <c r="Q18" s="111"/>
      <c r="R18" s="106">
        <f>(Table1567[[#This Row],[Commercial Bid Price per case for NOI ($)]]-Table1567[[#This Row],[Pass-Thru Value per case ($)]])+Table1567[[#This Row],[Region 1: Fixed Fee Per Case ($)]]</f>
        <v>0</v>
      </c>
      <c r="S18" s="21" t="e">
        <f>(Table1567[[#This Row],[Commercial Bid Price per case for NOI ($)]]+Table1567[[#This Row],[Region 1: Fixed Fee Per Case ($)]])/Table1567[[#This Row],['# of CN Servings per case]]</f>
        <v>#DIV/0!</v>
      </c>
      <c r="T18" s="120" t="e">
        <f>Table1567[[#This Row],[Total Cost Per Serving (N+O)/I]]*Table1567[[#This Row],[Estimated Servings Annual]]</f>
        <v>#DIV/0!</v>
      </c>
      <c r="U18" s="106">
        <f>(Table1567[[#This Row],[Commercial Bid Price per case for NOI ($)]]-Table1567[[#This Row],[Pass-Thru Value per case ($)]])+Table1567[[#This Row],[Region 2: Fixed Fee Per Case ($)]]</f>
        <v>0</v>
      </c>
      <c r="V18" s="22" t="e">
        <f>(Table1567[[#This Row],[Commercial Bid Price per case for NOI ($)]]+Table1567[[#This Row],[Region 2: Fixed Fee Per Case ($)]])/Table1567[[#This Row],['# of CN Servings per case]]</f>
        <v>#DIV/0!</v>
      </c>
      <c r="W18" s="23" t="e">
        <f>Table1567[[#This Row],[Total Cost Per Serving (N+P)/I]]*Table1567[[#This Row],[Estimated Servings Annual]]</f>
        <v>#DIV/0!</v>
      </c>
    </row>
    <row r="19" spans="1:23" x14ac:dyDescent="0.25">
      <c r="A19" s="38" t="s">
        <v>53</v>
      </c>
      <c r="B19" s="2" t="s">
        <v>56</v>
      </c>
      <c r="C19" s="3" t="s">
        <v>58</v>
      </c>
      <c r="D19" s="4"/>
      <c r="E19" s="4"/>
      <c r="F19" s="4"/>
      <c r="G19" s="4"/>
      <c r="H19" s="4"/>
      <c r="I19" s="4"/>
      <c r="J19" s="92">
        <v>300000</v>
      </c>
      <c r="K19" s="4"/>
      <c r="L19" s="4"/>
      <c r="M19" s="4"/>
      <c r="N19" s="4"/>
      <c r="O19" s="4"/>
      <c r="P19" s="4"/>
      <c r="Q19" s="109"/>
      <c r="R19" s="104">
        <f>(Table1567[[#This Row],[Commercial Bid Price per case for NOI ($)]]-Table1567[[#This Row],[Pass-Thru Value per case ($)]])+Table1567[[#This Row],[Region 1: Fixed Fee Per Case ($)]]</f>
        <v>0</v>
      </c>
      <c r="S19" s="15" t="e">
        <f>(Table1567[[#This Row],[Commercial Bid Price per case for NOI ($)]]+Table1567[[#This Row],[Region 1: Fixed Fee Per Case ($)]])/Table1567[[#This Row],['# of CN Servings per case]]</f>
        <v>#DIV/0!</v>
      </c>
      <c r="T19" s="115" t="e">
        <f>Table1567[[#This Row],[Total Cost Per Serving (N+O)/I]]*Table1567[[#This Row],[Estimated Servings Annual]]</f>
        <v>#DIV/0!</v>
      </c>
      <c r="U19" s="104">
        <f>(Table1567[[#This Row],[Commercial Bid Price per case for NOI ($)]]-Table1567[[#This Row],[Pass-Thru Value per case ($)]])+Table1567[[#This Row],[Region 2: Fixed Fee Per Case ($)]]</f>
        <v>0</v>
      </c>
      <c r="V19" s="16" t="e">
        <f>(Table1567[[#This Row],[Commercial Bid Price per case for NOI ($)]]+Table1567[[#This Row],[Region 2: Fixed Fee Per Case ($)]])/Table1567[[#This Row],['# of CN Servings per case]]</f>
        <v>#DIV/0!</v>
      </c>
      <c r="W19" s="17" t="e">
        <f>Table1567[[#This Row],[Total Cost Per Serving (N+P)/I]]*Table1567[[#This Row],[Estimated Servings Annual]]</f>
        <v>#DIV/0!</v>
      </c>
    </row>
    <row r="20" spans="1:23" x14ac:dyDescent="0.25">
      <c r="A20" s="38" t="s">
        <v>53</v>
      </c>
      <c r="B20" s="5" t="s">
        <v>56</v>
      </c>
      <c r="C20" s="6" t="s">
        <v>58</v>
      </c>
      <c r="D20" s="7"/>
      <c r="E20" s="7"/>
      <c r="F20" s="7"/>
      <c r="G20" s="7"/>
      <c r="H20" s="7"/>
      <c r="I20" s="7"/>
      <c r="J20" s="93">
        <v>300000</v>
      </c>
      <c r="K20" s="7"/>
      <c r="L20" s="7"/>
      <c r="M20" s="7"/>
      <c r="N20" s="7"/>
      <c r="O20" s="7"/>
      <c r="P20" s="7"/>
      <c r="Q20" s="110"/>
      <c r="R20" s="105">
        <f>(Table1567[[#This Row],[Commercial Bid Price per case for NOI ($)]]-Table1567[[#This Row],[Pass-Thru Value per case ($)]])+Table1567[[#This Row],[Region 1: Fixed Fee Per Case ($)]]</f>
        <v>0</v>
      </c>
      <c r="S20" s="18" t="e">
        <f>(Table1567[[#This Row],[Commercial Bid Price per case for NOI ($)]]+Table1567[[#This Row],[Region 1: Fixed Fee Per Case ($)]])/Table1567[[#This Row],['# of CN Servings per case]]</f>
        <v>#DIV/0!</v>
      </c>
      <c r="T20" s="118" t="e">
        <f>Table1567[[#This Row],[Total Cost Per Serving (N+O)/I]]*Table1567[[#This Row],[Estimated Servings Annual]]</f>
        <v>#DIV/0!</v>
      </c>
      <c r="U20" s="105">
        <f>(Table1567[[#This Row],[Commercial Bid Price per case for NOI ($)]]-Table1567[[#This Row],[Pass-Thru Value per case ($)]])+Table1567[[#This Row],[Region 2: Fixed Fee Per Case ($)]]</f>
        <v>0</v>
      </c>
      <c r="V20" s="19" t="e">
        <f>(Table1567[[#This Row],[Commercial Bid Price per case for NOI ($)]]+Table1567[[#This Row],[Region 2: Fixed Fee Per Case ($)]])/Table1567[[#This Row],['# of CN Servings per case]]</f>
        <v>#DIV/0!</v>
      </c>
      <c r="W20" s="20" t="e">
        <f>Table1567[[#This Row],[Total Cost Per Serving (N+P)/I]]*Table1567[[#This Row],[Estimated Servings Annual]]</f>
        <v>#DIV/0!</v>
      </c>
    </row>
    <row r="21" spans="1:23" x14ac:dyDescent="0.25">
      <c r="A21" s="38" t="s">
        <v>53</v>
      </c>
      <c r="B21" s="5" t="s">
        <v>56</v>
      </c>
      <c r="C21" s="6" t="s">
        <v>59</v>
      </c>
      <c r="D21" s="7"/>
      <c r="E21" s="7"/>
      <c r="F21" s="7"/>
      <c r="G21" s="7"/>
      <c r="H21" s="7"/>
      <c r="I21" s="7"/>
      <c r="J21" s="93">
        <v>300000</v>
      </c>
      <c r="K21" s="7"/>
      <c r="L21" s="7"/>
      <c r="M21" s="7"/>
      <c r="N21" s="7"/>
      <c r="O21" s="7"/>
      <c r="P21" s="7"/>
      <c r="Q21" s="110"/>
      <c r="R21" s="105">
        <f>(Table1567[[#This Row],[Commercial Bid Price per case for NOI ($)]]-Table1567[[#This Row],[Pass-Thru Value per case ($)]])+Table1567[[#This Row],[Region 1: Fixed Fee Per Case ($)]]</f>
        <v>0</v>
      </c>
      <c r="S21" s="18" t="e">
        <f>(Table1567[[#This Row],[Commercial Bid Price per case for NOI ($)]]+Table1567[[#This Row],[Region 1: Fixed Fee Per Case ($)]])/Table1567[[#This Row],['# of CN Servings per case]]</f>
        <v>#DIV/0!</v>
      </c>
      <c r="T21" s="118" t="e">
        <f>Table1567[[#This Row],[Total Cost Per Serving (N+O)/I]]*Table1567[[#This Row],[Estimated Servings Annual]]</f>
        <v>#DIV/0!</v>
      </c>
      <c r="U21" s="105">
        <f>(Table1567[[#This Row],[Commercial Bid Price per case for NOI ($)]]-Table1567[[#This Row],[Pass-Thru Value per case ($)]])+Table1567[[#This Row],[Region 2: Fixed Fee Per Case ($)]]</f>
        <v>0</v>
      </c>
      <c r="V21" s="19" t="e">
        <f>(Table1567[[#This Row],[Commercial Bid Price per case for NOI ($)]]+Table1567[[#This Row],[Region 2: Fixed Fee Per Case ($)]])/Table1567[[#This Row],['# of CN Servings per case]]</f>
        <v>#DIV/0!</v>
      </c>
      <c r="W21" s="20" t="e">
        <f>Table1567[[#This Row],[Total Cost Per Serving (N+P)/I]]*Table1567[[#This Row],[Estimated Servings Annual]]</f>
        <v>#DIV/0!</v>
      </c>
    </row>
    <row r="22" spans="1:23" x14ac:dyDescent="0.25">
      <c r="A22" s="38" t="s">
        <v>53</v>
      </c>
      <c r="B22" s="5" t="s">
        <v>56</v>
      </c>
      <c r="C22" s="6" t="s">
        <v>59</v>
      </c>
      <c r="D22" s="7"/>
      <c r="E22" s="7"/>
      <c r="F22" s="7"/>
      <c r="G22" s="7"/>
      <c r="H22" s="7"/>
      <c r="I22" s="7"/>
      <c r="J22" s="93">
        <v>300000</v>
      </c>
      <c r="K22" s="7"/>
      <c r="L22" s="7"/>
      <c r="M22" s="7"/>
      <c r="N22" s="7"/>
      <c r="O22" s="7"/>
      <c r="P22" s="7"/>
      <c r="Q22" s="110"/>
      <c r="R22" s="105">
        <f>(Table1567[[#This Row],[Commercial Bid Price per case for NOI ($)]]-Table1567[[#This Row],[Pass-Thru Value per case ($)]])+Table1567[[#This Row],[Region 1: Fixed Fee Per Case ($)]]</f>
        <v>0</v>
      </c>
      <c r="S22" s="18" t="e">
        <f>(Table1567[[#This Row],[Commercial Bid Price per case for NOI ($)]]+Table1567[[#This Row],[Region 1: Fixed Fee Per Case ($)]])/Table1567[[#This Row],['# of CN Servings per case]]</f>
        <v>#DIV/0!</v>
      </c>
      <c r="T22" s="118" t="e">
        <f>Table1567[[#This Row],[Total Cost Per Serving (N+O)/I]]*Table1567[[#This Row],[Estimated Servings Annual]]</f>
        <v>#DIV/0!</v>
      </c>
      <c r="U22" s="105">
        <f>(Table1567[[#This Row],[Commercial Bid Price per case for NOI ($)]]-Table1567[[#This Row],[Pass-Thru Value per case ($)]])+Table1567[[#This Row],[Region 2: Fixed Fee Per Case ($)]]</f>
        <v>0</v>
      </c>
      <c r="V22" s="19" t="e">
        <f>(Table1567[[#This Row],[Commercial Bid Price per case for NOI ($)]]+Table1567[[#This Row],[Region 2: Fixed Fee Per Case ($)]])/Table1567[[#This Row],['# of CN Servings per case]]</f>
        <v>#DIV/0!</v>
      </c>
      <c r="W22" s="20" t="e">
        <f>Table1567[[#This Row],[Total Cost Per Serving (N+P)/I]]*Table1567[[#This Row],[Estimated Servings Annual]]</f>
        <v>#DIV/0!</v>
      </c>
    </row>
    <row r="23" spans="1:23" x14ac:dyDescent="0.25">
      <c r="A23" s="38" t="s">
        <v>53</v>
      </c>
      <c r="B23" s="5" t="s">
        <v>56</v>
      </c>
      <c r="C23" s="7" t="s">
        <v>13</v>
      </c>
      <c r="D23" s="7"/>
      <c r="E23" s="7"/>
      <c r="F23" s="7"/>
      <c r="G23" s="7"/>
      <c r="H23" s="7"/>
      <c r="I23" s="7"/>
      <c r="J23" s="93">
        <v>300000</v>
      </c>
      <c r="K23" s="7"/>
      <c r="L23" s="7"/>
      <c r="M23" s="7"/>
      <c r="N23" s="7"/>
      <c r="O23" s="7"/>
      <c r="P23" s="7"/>
      <c r="Q23" s="110"/>
      <c r="R23" s="105">
        <f>(Table1567[[#This Row],[Commercial Bid Price per case for NOI ($)]]-Table1567[[#This Row],[Pass-Thru Value per case ($)]])+Table1567[[#This Row],[Region 1: Fixed Fee Per Case ($)]]</f>
        <v>0</v>
      </c>
      <c r="S23" s="18" t="e">
        <f>(Table1567[[#This Row],[Commercial Bid Price per case for NOI ($)]]+Table1567[[#This Row],[Region 1: Fixed Fee Per Case ($)]])/Table1567[[#This Row],['# of CN Servings per case]]</f>
        <v>#DIV/0!</v>
      </c>
      <c r="T23" s="118" t="e">
        <f>Table1567[[#This Row],[Total Cost Per Serving (N+O)/I]]*Table1567[[#This Row],[Estimated Servings Annual]]</f>
        <v>#DIV/0!</v>
      </c>
      <c r="U23" s="105">
        <f>(Table1567[[#This Row],[Commercial Bid Price per case for NOI ($)]]-Table1567[[#This Row],[Pass-Thru Value per case ($)]])+Table1567[[#This Row],[Region 2: Fixed Fee Per Case ($)]]</f>
        <v>0</v>
      </c>
      <c r="V23" s="19" t="e">
        <f>(Table1567[[#This Row],[Commercial Bid Price per case for NOI ($)]]+Table1567[[#This Row],[Region 2: Fixed Fee Per Case ($)]])/Table1567[[#This Row],['# of CN Servings per case]]</f>
        <v>#DIV/0!</v>
      </c>
      <c r="W23" s="20" t="e">
        <f>Table1567[[#This Row],[Total Cost Per Serving (N+P)/I]]*Table1567[[#This Row],[Estimated Servings Annual]]</f>
        <v>#DIV/0!</v>
      </c>
    </row>
    <row r="24" spans="1:23" x14ac:dyDescent="0.25">
      <c r="A24" s="38" t="s">
        <v>53</v>
      </c>
      <c r="B24" s="5" t="s">
        <v>56</v>
      </c>
      <c r="C24" s="7" t="s">
        <v>13</v>
      </c>
      <c r="D24" s="7"/>
      <c r="E24" s="7"/>
      <c r="F24" s="7"/>
      <c r="G24" s="7"/>
      <c r="H24" s="7"/>
      <c r="I24" s="7"/>
      <c r="J24" s="93">
        <v>300000</v>
      </c>
      <c r="K24" s="7"/>
      <c r="L24" s="7"/>
      <c r="M24" s="7"/>
      <c r="N24" s="7"/>
      <c r="O24" s="7"/>
      <c r="P24" s="7"/>
      <c r="Q24" s="110"/>
      <c r="R24" s="105">
        <f>(Table1567[[#This Row],[Commercial Bid Price per case for NOI ($)]]-Table1567[[#This Row],[Pass-Thru Value per case ($)]])+Table1567[[#This Row],[Region 1: Fixed Fee Per Case ($)]]</f>
        <v>0</v>
      </c>
      <c r="S24" s="18" t="e">
        <f>(Table1567[[#This Row],[Commercial Bid Price per case for NOI ($)]]+Table1567[[#This Row],[Region 1: Fixed Fee Per Case ($)]])/Table1567[[#This Row],['# of CN Servings per case]]</f>
        <v>#DIV/0!</v>
      </c>
      <c r="T24" s="118" t="e">
        <f>Table1567[[#This Row],[Total Cost Per Serving (N+O)/I]]*Table1567[[#This Row],[Estimated Servings Annual]]</f>
        <v>#DIV/0!</v>
      </c>
      <c r="U24" s="105">
        <f>(Table1567[[#This Row],[Commercial Bid Price per case for NOI ($)]]-Table1567[[#This Row],[Pass-Thru Value per case ($)]])+Table1567[[#This Row],[Region 2: Fixed Fee Per Case ($)]]</f>
        <v>0</v>
      </c>
      <c r="V24" s="19" t="e">
        <f>(Table1567[[#This Row],[Commercial Bid Price per case for NOI ($)]]+Table1567[[#This Row],[Region 2: Fixed Fee Per Case ($)]])/Table1567[[#This Row],['# of CN Servings per case]]</f>
        <v>#DIV/0!</v>
      </c>
      <c r="W24" s="20" t="e">
        <f>Table1567[[#This Row],[Total Cost Per Serving (N+P)/I]]*Table1567[[#This Row],[Estimated Servings Annual]]</f>
        <v>#DIV/0!</v>
      </c>
    </row>
    <row r="25" spans="1:23" x14ac:dyDescent="0.25">
      <c r="A25" s="38" t="s">
        <v>53</v>
      </c>
      <c r="B25" s="5" t="s">
        <v>56</v>
      </c>
      <c r="C25" s="7" t="s">
        <v>13</v>
      </c>
      <c r="D25" s="7"/>
      <c r="E25" s="7"/>
      <c r="F25" s="7"/>
      <c r="G25" s="7"/>
      <c r="H25" s="7"/>
      <c r="I25" s="7"/>
      <c r="J25" s="93">
        <v>300000</v>
      </c>
      <c r="K25" s="7"/>
      <c r="L25" s="7"/>
      <c r="M25" s="7"/>
      <c r="N25" s="7"/>
      <c r="O25" s="7"/>
      <c r="P25" s="7"/>
      <c r="Q25" s="110"/>
      <c r="R25" s="105">
        <f>(Table1567[[#This Row],[Commercial Bid Price per case for NOI ($)]]-Table1567[[#This Row],[Pass-Thru Value per case ($)]])+Table1567[[#This Row],[Region 1: Fixed Fee Per Case ($)]]</f>
        <v>0</v>
      </c>
      <c r="S25" s="18" t="e">
        <f>(Table1567[[#This Row],[Commercial Bid Price per case for NOI ($)]]+Table1567[[#This Row],[Region 1: Fixed Fee Per Case ($)]])/Table1567[[#This Row],['# of CN Servings per case]]</f>
        <v>#DIV/0!</v>
      </c>
      <c r="T25" s="118" t="e">
        <f>Table1567[[#This Row],[Total Cost Per Serving (N+O)/I]]*Table1567[[#This Row],[Estimated Servings Annual]]</f>
        <v>#DIV/0!</v>
      </c>
      <c r="U25" s="105">
        <f>(Table1567[[#This Row],[Commercial Bid Price per case for NOI ($)]]-Table1567[[#This Row],[Pass-Thru Value per case ($)]])+Table1567[[#This Row],[Region 2: Fixed Fee Per Case ($)]]</f>
        <v>0</v>
      </c>
      <c r="V25" s="19" t="e">
        <f>(Table1567[[#This Row],[Commercial Bid Price per case for NOI ($)]]+Table1567[[#This Row],[Region 2: Fixed Fee Per Case ($)]])/Table1567[[#This Row],['# of CN Servings per case]]</f>
        <v>#DIV/0!</v>
      </c>
      <c r="W25" s="20" t="e">
        <f>Table1567[[#This Row],[Total Cost Per Serving (N+P)/I]]*Table1567[[#This Row],[Estimated Servings Annual]]</f>
        <v>#DIV/0!</v>
      </c>
    </row>
    <row r="26" spans="1:23" ht="15.75" thickBot="1" x14ac:dyDescent="0.3">
      <c r="A26" s="38" t="s">
        <v>53</v>
      </c>
      <c r="B26" s="8" t="s">
        <v>56</v>
      </c>
      <c r="C26" s="9" t="s">
        <v>13</v>
      </c>
      <c r="D26" s="9"/>
      <c r="E26" s="9"/>
      <c r="F26" s="9"/>
      <c r="G26" s="9"/>
      <c r="H26" s="9"/>
      <c r="I26" s="9"/>
      <c r="J26" s="94">
        <v>300000</v>
      </c>
      <c r="K26" s="9"/>
      <c r="L26" s="9"/>
      <c r="M26" s="9"/>
      <c r="N26" s="9"/>
      <c r="O26" s="9"/>
      <c r="P26" s="9"/>
      <c r="Q26" s="111"/>
      <c r="R26" s="106">
        <f>(Table1567[[#This Row],[Commercial Bid Price per case for NOI ($)]]-Table1567[[#This Row],[Pass-Thru Value per case ($)]])+Table1567[[#This Row],[Region 1: Fixed Fee Per Case ($)]]</f>
        <v>0</v>
      </c>
      <c r="S26" s="21" t="e">
        <f>(Table1567[[#This Row],[Commercial Bid Price per case for NOI ($)]]+Table1567[[#This Row],[Region 1: Fixed Fee Per Case ($)]])/Table1567[[#This Row],['# of CN Servings per case]]</f>
        <v>#DIV/0!</v>
      </c>
      <c r="T26" s="120" t="e">
        <f>Table1567[[#This Row],[Total Cost Per Serving (N+O)/I]]*Table1567[[#This Row],[Estimated Servings Annual]]</f>
        <v>#DIV/0!</v>
      </c>
      <c r="U26" s="106">
        <f>(Table1567[[#This Row],[Commercial Bid Price per case for NOI ($)]]-Table1567[[#This Row],[Pass-Thru Value per case ($)]])+Table1567[[#This Row],[Region 2: Fixed Fee Per Case ($)]]</f>
        <v>0</v>
      </c>
      <c r="V26" s="22" t="e">
        <f>(Table1567[[#This Row],[Commercial Bid Price per case for NOI ($)]]+Table1567[[#This Row],[Region 2: Fixed Fee Per Case ($)]])/Table1567[[#This Row],['# of CN Servings per case]]</f>
        <v>#DIV/0!</v>
      </c>
      <c r="W26" s="23" t="e">
        <f>Table1567[[#This Row],[Total Cost Per Serving (N+P)/I]]*Table1567[[#This Row],[Estimated Servings Annual]]</f>
        <v>#DIV/0!</v>
      </c>
    </row>
    <row r="27" spans="1:23" x14ac:dyDescent="0.25">
      <c r="A27" s="39" t="s">
        <v>53</v>
      </c>
      <c r="B27" s="2" t="s">
        <v>57</v>
      </c>
      <c r="C27" s="3" t="s">
        <v>58</v>
      </c>
      <c r="D27" s="4"/>
      <c r="E27" s="4"/>
      <c r="F27" s="4"/>
      <c r="G27" s="4"/>
      <c r="H27" s="4"/>
      <c r="I27" s="4"/>
      <c r="J27" s="92">
        <v>700000</v>
      </c>
      <c r="K27" s="4"/>
      <c r="L27" s="4"/>
      <c r="M27" s="4"/>
      <c r="N27" s="4"/>
      <c r="O27" s="4"/>
      <c r="P27" s="4"/>
      <c r="Q27" s="109"/>
      <c r="R27" s="104">
        <f>(Table1567[[#This Row],[Commercial Bid Price per case for NOI ($)]]-Table1567[[#This Row],[Pass-Thru Value per case ($)]])+Table1567[[#This Row],[Region 1: Fixed Fee Per Case ($)]]</f>
        <v>0</v>
      </c>
      <c r="S27" s="15" t="e">
        <f>(Table1567[[#This Row],[Commercial Bid Price per case for NOI ($)]]+Table1567[[#This Row],[Region 1: Fixed Fee Per Case ($)]])/Table1567[[#This Row],['# of CN Servings per case]]</f>
        <v>#DIV/0!</v>
      </c>
      <c r="T27" s="115" t="e">
        <f>Table1567[[#This Row],[Total Cost Per Serving (N+O)/I]]*Table1567[[#This Row],[Estimated Servings Annual]]</f>
        <v>#DIV/0!</v>
      </c>
      <c r="U27" s="104">
        <f>(Table1567[[#This Row],[Commercial Bid Price per case for NOI ($)]]-Table1567[[#This Row],[Pass-Thru Value per case ($)]])+Table1567[[#This Row],[Region 2: Fixed Fee Per Case ($)]]</f>
        <v>0</v>
      </c>
      <c r="V27" s="31" t="e">
        <f>(Table1567[[#This Row],[Commercial Bid Price per case for NOI ($)]]+Table1567[[#This Row],[Region 2: Fixed Fee Per Case ($)]])/Table1567[[#This Row],['# of CN Servings per case]]</f>
        <v>#DIV/0!</v>
      </c>
      <c r="W27" s="17" t="e">
        <f>Table1567[[#This Row],[Total Cost Per Serving (N+P)/I]]*Table1567[[#This Row],[Estimated Servings Annual]]</f>
        <v>#DIV/0!</v>
      </c>
    </row>
    <row r="28" spans="1:23" x14ac:dyDescent="0.25">
      <c r="A28" s="39" t="s">
        <v>53</v>
      </c>
      <c r="B28" s="5" t="s">
        <v>57</v>
      </c>
      <c r="C28" s="6" t="s">
        <v>58</v>
      </c>
      <c r="D28" s="7"/>
      <c r="E28" s="7"/>
      <c r="F28" s="7"/>
      <c r="G28" s="7"/>
      <c r="H28" s="7"/>
      <c r="I28" s="7"/>
      <c r="J28" s="93">
        <v>700000</v>
      </c>
      <c r="K28" s="7"/>
      <c r="L28" s="7"/>
      <c r="M28" s="7"/>
      <c r="N28" s="7"/>
      <c r="O28" s="7"/>
      <c r="P28" s="7"/>
      <c r="Q28" s="110"/>
      <c r="R28" s="105">
        <f>(Table1567[[#This Row],[Commercial Bid Price per case for NOI ($)]]-Table1567[[#This Row],[Pass-Thru Value per case ($)]])+Table1567[[#This Row],[Region 1: Fixed Fee Per Case ($)]]</f>
        <v>0</v>
      </c>
      <c r="S28" s="18" t="e">
        <f>(Table1567[[#This Row],[Commercial Bid Price per case for NOI ($)]]+Table1567[[#This Row],[Region 1: Fixed Fee Per Case ($)]])/Table1567[[#This Row],['# of CN Servings per case]]</f>
        <v>#DIV/0!</v>
      </c>
      <c r="T28" s="118" t="e">
        <f>Table1567[[#This Row],[Total Cost Per Serving (N+O)/I]]*Table1567[[#This Row],[Estimated Servings Annual]]</f>
        <v>#DIV/0!</v>
      </c>
      <c r="U28" s="105">
        <f>(Table1567[[#This Row],[Commercial Bid Price per case for NOI ($)]]-Table1567[[#This Row],[Pass-Thru Value per case ($)]])+Table1567[[#This Row],[Region 2: Fixed Fee Per Case ($)]]</f>
        <v>0</v>
      </c>
      <c r="V28" s="24" t="e">
        <f>(Table1567[[#This Row],[Commercial Bid Price per case for NOI ($)]]+Table1567[[#This Row],[Region 2: Fixed Fee Per Case ($)]])/Table1567[[#This Row],['# of CN Servings per case]]</f>
        <v>#DIV/0!</v>
      </c>
      <c r="W28" s="20" t="e">
        <f>Table1567[[#This Row],[Total Cost Per Serving (N+P)/I]]*Table1567[[#This Row],[Estimated Servings Annual]]</f>
        <v>#DIV/0!</v>
      </c>
    </row>
    <row r="29" spans="1:23" x14ac:dyDescent="0.25">
      <c r="A29" s="39" t="s">
        <v>53</v>
      </c>
      <c r="B29" s="5" t="s">
        <v>57</v>
      </c>
      <c r="C29" s="6" t="s">
        <v>59</v>
      </c>
      <c r="D29" s="7"/>
      <c r="E29" s="7"/>
      <c r="F29" s="7"/>
      <c r="G29" s="7"/>
      <c r="H29" s="7"/>
      <c r="I29" s="7"/>
      <c r="J29" s="93">
        <v>700000</v>
      </c>
      <c r="K29" s="7"/>
      <c r="L29" s="7"/>
      <c r="M29" s="7"/>
      <c r="N29" s="7"/>
      <c r="O29" s="7"/>
      <c r="P29" s="7"/>
      <c r="Q29" s="110"/>
      <c r="R29" s="105">
        <f>(Table1567[[#This Row],[Commercial Bid Price per case for NOI ($)]]-Table1567[[#This Row],[Pass-Thru Value per case ($)]])+Table1567[[#This Row],[Region 1: Fixed Fee Per Case ($)]]</f>
        <v>0</v>
      </c>
      <c r="S29" s="18" t="e">
        <f>(Table1567[[#This Row],[Commercial Bid Price per case for NOI ($)]]+Table1567[[#This Row],[Region 1: Fixed Fee Per Case ($)]])/Table1567[[#This Row],['# of CN Servings per case]]</f>
        <v>#DIV/0!</v>
      </c>
      <c r="T29" s="118" t="e">
        <f>Table1567[[#This Row],[Total Cost Per Serving (N+O)/I]]*Table1567[[#This Row],[Estimated Servings Annual]]</f>
        <v>#DIV/0!</v>
      </c>
      <c r="U29" s="105">
        <f>(Table1567[[#This Row],[Commercial Bid Price per case for NOI ($)]]-Table1567[[#This Row],[Pass-Thru Value per case ($)]])+Table1567[[#This Row],[Region 2: Fixed Fee Per Case ($)]]</f>
        <v>0</v>
      </c>
      <c r="V29" s="24" t="e">
        <f>(Table1567[[#This Row],[Commercial Bid Price per case for NOI ($)]]+Table1567[[#This Row],[Region 2: Fixed Fee Per Case ($)]])/Table1567[[#This Row],['# of CN Servings per case]]</f>
        <v>#DIV/0!</v>
      </c>
      <c r="W29" s="20" t="e">
        <f>Table1567[[#This Row],[Total Cost Per Serving (N+P)/I]]*Table1567[[#This Row],[Estimated Servings Annual]]</f>
        <v>#DIV/0!</v>
      </c>
    </row>
    <row r="30" spans="1:23" x14ac:dyDescent="0.25">
      <c r="A30" s="39" t="s">
        <v>53</v>
      </c>
      <c r="B30" s="5" t="s">
        <v>57</v>
      </c>
      <c r="C30" s="6" t="s">
        <v>59</v>
      </c>
      <c r="D30" s="7"/>
      <c r="E30" s="7"/>
      <c r="F30" s="7"/>
      <c r="G30" s="7"/>
      <c r="H30" s="7"/>
      <c r="I30" s="7"/>
      <c r="J30" s="93">
        <v>700000</v>
      </c>
      <c r="K30" s="7"/>
      <c r="L30" s="7"/>
      <c r="M30" s="7"/>
      <c r="N30" s="7"/>
      <c r="O30" s="7"/>
      <c r="P30" s="7"/>
      <c r="Q30" s="110"/>
      <c r="R30" s="105">
        <f>(Table1567[[#This Row],[Commercial Bid Price per case for NOI ($)]]-Table1567[[#This Row],[Pass-Thru Value per case ($)]])+Table1567[[#This Row],[Region 1: Fixed Fee Per Case ($)]]</f>
        <v>0</v>
      </c>
      <c r="S30" s="18" t="e">
        <f>(Table1567[[#This Row],[Commercial Bid Price per case for NOI ($)]]+Table1567[[#This Row],[Region 1: Fixed Fee Per Case ($)]])/Table1567[[#This Row],['# of CN Servings per case]]</f>
        <v>#DIV/0!</v>
      </c>
      <c r="T30" s="118" t="e">
        <f>Table1567[[#This Row],[Total Cost Per Serving (N+O)/I]]*Table1567[[#This Row],[Estimated Servings Annual]]</f>
        <v>#DIV/0!</v>
      </c>
      <c r="U30" s="105">
        <f>(Table1567[[#This Row],[Commercial Bid Price per case for NOI ($)]]-Table1567[[#This Row],[Pass-Thru Value per case ($)]])+Table1567[[#This Row],[Region 2: Fixed Fee Per Case ($)]]</f>
        <v>0</v>
      </c>
      <c r="V30" s="24" t="e">
        <f>(Table1567[[#This Row],[Commercial Bid Price per case for NOI ($)]]+Table1567[[#This Row],[Region 2: Fixed Fee Per Case ($)]])/Table1567[[#This Row],['# of CN Servings per case]]</f>
        <v>#DIV/0!</v>
      </c>
      <c r="W30" s="20" t="e">
        <f>Table1567[[#This Row],[Total Cost Per Serving (N+P)/I]]*Table1567[[#This Row],[Estimated Servings Annual]]</f>
        <v>#DIV/0!</v>
      </c>
    </row>
    <row r="31" spans="1:23" x14ac:dyDescent="0.25">
      <c r="A31" s="39" t="s">
        <v>53</v>
      </c>
      <c r="B31" s="5" t="s">
        <v>57</v>
      </c>
      <c r="C31" s="7" t="s">
        <v>13</v>
      </c>
      <c r="D31" s="7"/>
      <c r="E31" s="7"/>
      <c r="F31" s="7"/>
      <c r="G31" s="7"/>
      <c r="H31" s="7"/>
      <c r="I31" s="7"/>
      <c r="J31" s="93">
        <v>700000</v>
      </c>
      <c r="K31" s="7"/>
      <c r="L31" s="7"/>
      <c r="M31" s="7"/>
      <c r="N31" s="7"/>
      <c r="O31" s="7"/>
      <c r="P31" s="7"/>
      <c r="Q31" s="110"/>
      <c r="R31" s="105">
        <f>(Table1567[[#This Row],[Commercial Bid Price per case for NOI ($)]]-Table1567[[#This Row],[Pass-Thru Value per case ($)]])+Table1567[[#This Row],[Region 1: Fixed Fee Per Case ($)]]</f>
        <v>0</v>
      </c>
      <c r="S31" s="18" t="e">
        <f>(Table1567[[#This Row],[Commercial Bid Price per case for NOI ($)]]+Table1567[[#This Row],[Region 1: Fixed Fee Per Case ($)]])/Table1567[[#This Row],['# of CN Servings per case]]</f>
        <v>#DIV/0!</v>
      </c>
      <c r="T31" s="118" t="e">
        <f>Table1567[[#This Row],[Total Cost Per Serving (N+O)/I]]*Table1567[[#This Row],[Estimated Servings Annual]]</f>
        <v>#DIV/0!</v>
      </c>
      <c r="U31" s="105">
        <f>(Table1567[[#This Row],[Commercial Bid Price per case for NOI ($)]]-Table1567[[#This Row],[Pass-Thru Value per case ($)]])+Table1567[[#This Row],[Region 2: Fixed Fee Per Case ($)]]</f>
        <v>0</v>
      </c>
      <c r="V31" s="24" t="e">
        <f>(Table1567[[#This Row],[Commercial Bid Price per case for NOI ($)]]+Table1567[[#This Row],[Region 2: Fixed Fee Per Case ($)]])/Table1567[[#This Row],['# of CN Servings per case]]</f>
        <v>#DIV/0!</v>
      </c>
      <c r="W31" s="20" t="e">
        <f>Table1567[[#This Row],[Total Cost Per Serving (N+P)/I]]*Table1567[[#This Row],[Estimated Servings Annual]]</f>
        <v>#DIV/0!</v>
      </c>
    </row>
    <row r="32" spans="1:23" x14ac:dyDescent="0.25">
      <c r="A32" s="39" t="s">
        <v>53</v>
      </c>
      <c r="B32" s="5" t="s">
        <v>57</v>
      </c>
      <c r="C32" s="7" t="s">
        <v>13</v>
      </c>
      <c r="D32" s="7"/>
      <c r="E32" s="7"/>
      <c r="F32" s="7"/>
      <c r="G32" s="7"/>
      <c r="H32" s="7"/>
      <c r="I32" s="7"/>
      <c r="J32" s="93">
        <v>700000</v>
      </c>
      <c r="K32" s="7"/>
      <c r="L32" s="7"/>
      <c r="M32" s="7"/>
      <c r="N32" s="7"/>
      <c r="O32" s="7"/>
      <c r="P32" s="7"/>
      <c r="Q32" s="110"/>
      <c r="R32" s="105">
        <f>(Table1567[[#This Row],[Commercial Bid Price per case for NOI ($)]]-Table1567[[#This Row],[Pass-Thru Value per case ($)]])+Table1567[[#This Row],[Region 1: Fixed Fee Per Case ($)]]</f>
        <v>0</v>
      </c>
      <c r="S32" s="18" t="e">
        <f>(Table1567[[#This Row],[Commercial Bid Price per case for NOI ($)]]+Table1567[[#This Row],[Region 1: Fixed Fee Per Case ($)]])/Table1567[[#This Row],['# of CN Servings per case]]</f>
        <v>#DIV/0!</v>
      </c>
      <c r="T32" s="118" t="e">
        <f>Table1567[[#This Row],[Total Cost Per Serving (N+O)/I]]*Table1567[[#This Row],[Estimated Servings Annual]]</f>
        <v>#DIV/0!</v>
      </c>
      <c r="U32" s="105">
        <f>(Table1567[[#This Row],[Commercial Bid Price per case for NOI ($)]]-Table1567[[#This Row],[Pass-Thru Value per case ($)]])+Table1567[[#This Row],[Region 2: Fixed Fee Per Case ($)]]</f>
        <v>0</v>
      </c>
      <c r="V32" s="24" t="e">
        <f>(Table1567[[#This Row],[Commercial Bid Price per case for NOI ($)]]+Table1567[[#This Row],[Region 2: Fixed Fee Per Case ($)]])/Table1567[[#This Row],['# of CN Servings per case]]</f>
        <v>#DIV/0!</v>
      </c>
      <c r="W32" s="20" t="e">
        <f>Table1567[[#This Row],[Total Cost Per Serving (N+P)/I]]*Table1567[[#This Row],[Estimated Servings Annual]]</f>
        <v>#DIV/0!</v>
      </c>
    </row>
    <row r="33" spans="1:23" x14ac:dyDescent="0.25">
      <c r="A33" s="39" t="s">
        <v>53</v>
      </c>
      <c r="B33" s="5" t="s">
        <v>57</v>
      </c>
      <c r="C33" s="7" t="s">
        <v>13</v>
      </c>
      <c r="D33" s="7"/>
      <c r="E33" s="7"/>
      <c r="F33" s="7"/>
      <c r="G33" s="7"/>
      <c r="H33" s="7"/>
      <c r="I33" s="7"/>
      <c r="J33" s="93">
        <v>700000</v>
      </c>
      <c r="K33" s="7"/>
      <c r="L33" s="7"/>
      <c r="M33" s="7"/>
      <c r="N33" s="7"/>
      <c r="O33" s="7"/>
      <c r="P33" s="7"/>
      <c r="Q33" s="110"/>
      <c r="R33" s="105">
        <f>(Table1567[[#This Row],[Commercial Bid Price per case for NOI ($)]]-Table1567[[#This Row],[Pass-Thru Value per case ($)]])+Table1567[[#This Row],[Region 1: Fixed Fee Per Case ($)]]</f>
        <v>0</v>
      </c>
      <c r="S33" s="18" t="e">
        <f>(Table1567[[#This Row],[Commercial Bid Price per case for NOI ($)]]+Table1567[[#This Row],[Region 1: Fixed Fee Per Case ($)]])/Table1567[[#This Row],['# of CN Servings per case]]</f>
        <v>#DIV/0!</v>
      </c>
      <c r="T33" s="118" t="e">
        <f>Table1567[[#This Row],[Total Cost Per Serving (N+O)/I]]*Table1567[[#This Row],[Estimated Servings Annual]]</f>
        <v>#DIV/0!</v>
      </c>
      <c r="U33" s="105">
        <f>(Table1567[[#This Row],[Commercial Bid Price per case for NOI ($)]]-Table1567[[#This Row],[Pass-Thru Value per case ($)]])+Table1567[[#This Row],[Region 2: Fixed Fee Per Case ($)]]</f>
        <v>0</v>
      </c>
      <c r="V33" s="24" t="e">
        <f>(Table1567[[#This Row],[Commercial Bid Price per case for NOI ($)]]+Table1567[[#This Row],[Region 2: Fixed Fee Per Case ($)]])/Table1567[[#This Row],['# of CN Servings per case]]</f>
        <v>#DIV/0!</v>
      </c>
      <c r="W33" s="20" t="e">
        <f>Table1567[[#This Row],[Total Cost Per Serving (N+P)/I]]*Table1567[[#This Row],[Estimated Servings Annual]]</f>
        <v>#DIV/0!</v>
      </c>
    </row>
    <row r="34" spans="1:23" ht="15.75" thickBot="1" x14ac:dyDescent="0.3">
      <c r="A34" s="41" t="s">
        <v>53</v>
      </c>
      <c r="B34" s="8" t="s">
        <v>57</v>
      </c>
      <c r="C34" s="9" t="s">
        <v>13</v>
      </c>
      <c r="D34" s="9"/>
      <c r="E34" s="9"/>
      <c r="F34" s="9"/>
      <c r="G34" s="9"/>
      <c r="H34" s="9"/>
      <c r="I34" s="9"/>
      <c r="J34" s="94">
        <v>700000</v>
      </c>
      <c r="K34" s="9"/>
      <c r="L34" s="9"/>
      <c r="M34" s="9"/>
      <c r="N34" s="9"/>
      <c r="O34" s="9"/>
      <c r="P34" s="9"/>
      <c r="Q34" s="111"/>
      <c r="R34" s="106">
        <f>(Table1567[[#This Row],[Commercial Bid Price per case for NOI ($)]]-Table1567[[#This Row],[Pass-Thru Value per case ($)]])+Table1567[[#This Row],[Region 1: Fixed Fee Per Case ($)]]</f>
        <v>0</v>
      </c>
      <c r="S34" s="21" t="e">
        <f>(Table1567[[#This Row],[Commercial Bid Price per case for NOI ($)]]+Table1567[[#This Row],[Region 1: Fixed Fee Per Case ($)]])/Table1567[[#This Row],['# of CN Servings per case]]</f>
        <v>#DIV/0!</v>
      </c>
      <c r="T34" s="120" t="e">
        <f>Table1567[[#This Row],[Total Cost Per Serving (N+O)/I]]*Table1567[[#This Row],[Estimated Servings Annual]]</f>
        <v>#DIV/0!</v>
      </c>
      <c r="U34" s="106">
        <f>(Table1567[[#This Row],[Commercial Bid Price per case for NOI ($)]]-Table1567[[#This Row],[Pass-Thru Value per case ($)]])+Table1567[[#This Row],[Region 2: Fixed Fee Per Case ($)]]</f>
        <v>0</v>
      </c>
      <c r="V34" s="25" t="e">
        <f>(Table1567[[#This Row],[Commercial Bid Price per case for NOI ($)]]+Table1567[[#This Row],[Region 2: Fixed Fee Per Case ($)]])/Table1567[[#This Row],['# of CN Servings per case]]</f>
        <v>#DIV/0!</v>
      </c>
      <c r="W34" s="23" t="e">
        <f>Table1567[[#This Row],[Total Cost Per Serving (N+P)/I]]*Table1567[[#This Row],[Estimated Servings Annual]]</f>
        <v>#DIV/0!</v>
      </c>
    </row>
  </sheetData>
  <mergeCells count="3">
    <mergeCell ref="E1:G1"/>
    <mergeCell ref="R1:T1"/>
    <mergeCell ref="U1:W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V3" sqref="V3"/>
    </sheetView>
  </sheetViews>
  <sheetFormatPr defaultRowHeight="15" x14ac:dyDescent="0.25"/>
  <cols>
    <col min="1" max="1" width="11.140625" bestFit="1" customWidth="1"/>
    <col min="2" max="2" width="24" bestFit="1" customWidth="1"/>
    <col min="3" max="3" width="22" bestFit="1" customWidth="1"/>
    <col min="4" max="4" width="21" bestFit="1" customWidth="1"/>
    <col min="5" max="5" width="31.140625" customWidth="1"/>
    <col min="6" max="6" width="15.140625" bestFit="1" customWidth="1"/>
    <col min="7" max="7" width="14.28515625" bestFit="1" customWidth="1"/>
    <col min="8" max="9" width="17.5703125" bestFit="1" customWidth="1"/>
    <col min="10" max="10" width="16.42578125" style="90" bestFit="1" customWidth="1"/>
    <col min="11" max="11" width="22.7109375" bestFit="1" customWidth="1"/>
    <col min="12" max="12" width="19.140625" bestFit="1" customWidth="1"/>
    <col min="13" max="13" width="17.28515625" bestFit="1" customWidth="1"/>
    <col min="14" max="14" width="15.42578125" bestFit="1" customWidth="1"/>
    <col min="15" max="15" width="15.140625" bestFit="1" customWidth="1"/>
    <col min="16" max="17" width="18.28515625" bestFit="1" customWidth="1"/>
    <col min="18" max="18" width="16.85546875" customWidth="1"/>
    <col min="19" max="20" width="15.42578125" customWidth="1"/>
    <col min="21" max="21" width="17.5703125" customWidth="1"/>
    <col min="22" max="23" width="15.42578125" customWidth="1"/>
  </cols>
  <sheetData>
    <row r="1" spans="1:23" x14ac:dyDescent="0.25">
      <c r="D1" s="1" t="s">
        <v>149</v>
      </c>
      <c r="E1" s="137" t="str">
        <f>Instructions!A2</f>
        <v xml:space="preserve"> </v>
      </c>
      <c r="F1" s="137"/>
      <c r="G1" s="137"/>
      <c r="R1" s="134" t="s">
        <v>167</v>
      </c>
      <c r="S1" s="135"/>
      <c r="T1" s="136"/>
      <c r="U1" s="134" t="s">
        <v>168</v>
      </c>
      <c r="V1" s="135"/>
      <c r="W1" s="136"/>
    </row>
    <row r="2" spans="1:23" s="1" customFormat="1" ht="45.75" thickBot="1" x14ac:dyDescent="0.3">
      <c r="A2" s="1" t="s">
        <v>14</v>
      </c>
      <c r="B2" s="1" t="s">
        <v>3</v>
      </c>
      <c r="C2" s="1" t="s">
        <v>23</v>
      </c>
      <c r="D2" s="1" t="s">
        <v>154</v>
      </c>
      <c r="E2" s="1" t="s">
        <v>0</v>
      </c>
      <c r="F2" s="1" t="s">
        <v>4</v>
      </c>
      <c r="G2" s="1" t="s">
        <v>20</v>
      </c>
      <c r="H2" s="1" t="s">
        <v>1</v>
      </c>
      <c r="I2" s="1" t="s">
        <v>5</v>
      </c>
      <c r="J2" s="91" t="s">
        <v>6</v>
      </c>
      <c r="K2" s="1" t="s">
        <v>2</v>
      </c>
      <c r="L2" s="1" t="s">
        <v>21</v>
      </c>
      <c r="M2" s="71" t="s">
        <v>153</v>
      </c>
      <c r="N2" s="1" t="s">
        <v>22</v>
      </c>
      <c r="O2" s="1" t="s">
        <v>165</v>
      </c>
      <c r="P2" s="1" t="s">
        <v>166</v>
      </c>
      <c r="Q2" s="1" t="s">
        <v>19</v>
      </c>
      <c r="R2" s="101" t="s">
        <v>162</v>
      </c>
      <c r="S2" s="102" t="s">
        <v>163</v>
      </c>
      <c r="T2" s="103" t="s">
        <v>171</v>
      </c>
      <c r="U2" s="101" t="s">
        <v>169</v>
      </c>
      <c r="V2" s="102" t="s">
        <v>170</v>
      </c>
      <c r="W2" s="103" t="s">
        <v>172</v>
      </c>
    </row>
    <row r="3" spans="1:23" ht="30" x14ac:dyDescent="0.25">
      <c r="A3" s="37" t="s">
        <v>60</v>
      </c>
      <c r="B3" s="42" t="s">
        <v>61</v>
      </c>
      <c r="C3" s="3" t="s">
        <v>26</v>
      </c>
      <c r="D3" s="4"/>
      <c r="E3" s="4"/>
      <c r="F3" s="4"/>
      <c r="G3" s="4"/>
      <c r="H3" s="4"/>
      <c r="I3" s="4"/>
      <c r="J3" s="92">
        <v>800000</v>
      </c>
      <c r="K3" s="4"/>
      <c r="L3" s="4"/>
      <c r="M3" s="4"/>
      <c r="N3" s="4"/>
      <c r="O3" s="4"/>
      <c r="P3" s="4"/>
      <c r="Q3" s="109"/>
      <c r="R3" s="104">
        <f>(Table1568[[#This Row],[Commercial Bid Price per case for NOI ($)]]-Table1568[[#This Row],[Pass-Thru Value per case ($)]])+Table1568[[#This Row],[Region 1: Fixed Fee Per Case ($)]]</f>
        <v>0</v>
      </c>
      <c r="S3" s="15" t="e">
        <f>(Table1568[[#This Row],[Commercial Bid Price per case for NOI ($)]]+Table1568[[#This Row],[Region 1: Fixed Fee Per Case ($)]])/Table1568[[#This Row],['# of CN Servings per case]]</f>
        <v>#DIV/0!</v>
      </c>
      <c r="T3" s="115" t="e">
        <f>Table1568[[#This Row],[Total Cost Per Serving (N+O)/I]]*Table1568[[#This Row],[Estimated Servings Annual]]</f>
        <v>#DIV/0!</v>
      </c>
      <c r="U3" s="104">
        <f>(Table1568[[#This Row],[Commercial Bid Price per case for NOI ($)]]-Table1568[[#This Row],[Pass-Thru Value per case ($)]])+Table1568[[#This Row],[Region 2: Fixed Fee Per Case ($)]]</f>
        <v>0</v>
      </c>
      <c r="V3" s="16" t="e">
        <f>(Table1568[[#This Row],[Commercial Bid Price per case for NOI ($)]]+Table1568[[#This Row],[Region 2: Fixed Fee Per Case ($)]])/Table1568[[#This Row],['# of CN Servings per case]]</f>
        <v>#DIV/0!</v>
      </c>
      <c r="W3" s="17" t="e">
        <f>Table1568[[#This Row],[Total Cost Per Serving (N+P)/I]]*Table1568[[#This Row],[Estimated Servings Annual]]</f>
        <v>#DIV/0!</v>
      </c>
    </row>
    <row r="4" spans="1:23" ht="30" x14ac:dyDescent="0.25">
      <c r="A4" s="38" t="s">
        <v>60</v>
      </c>
      <c r="B4" s="43" t="s">
        <v>61</v>
      </c>
      <c r="C4" s="6" t="s">
        <v>26</v>
      </c>
      <c r="D4" s="7"/>
      <c r="E4" s="7"/>
      <c r="F4" s="7"/>
      <c r="G4" s="7"/>
      <c r="H4" s="7"/>
      <c r="I4" s="7"/>
      <c r="J4" s="93">
        <v>800000</v>
      </c>
      <c r="K4" s="7"/>
      <c r="L4" s="7"/>
      <c r="M4" s="7"/>
      <c r="N4" s="7"/>
      <c r="O4" s="7"/>
      <c r="P4" s="7"/>
      <c r="Q4" s="110"/>
      <c r="R4" s="105">
        <f>(Table1568[[#This Row],[Commercial Bid Price per case for NOI ($)]]-Table1568[[#This Row],[Pass-Thru Value per case ($)]])+Table1568[[#This Row],[Region 1: Fixed Fee Per Case ($)]]</f>
        <v>0</v>
      </c>
      <c r="S4" s="18" t="e">
        <f>(Table1568[[#This Row],[Commercial Bid Price per case for NOI ($)]]+Table1568[[#This Row],[Region 1: Fixed Fee Per Case ($)]])/Table1568[[#This Row],['# of CN Servings per case]]</f>
        <v>#DIV/0!</v>
      </c>
      <c r="T4" s="118" t="e">
        <f>Table1568[[#This Row],[Total Cost Per Serving (N+O)/I]]*Table1568[[#This Row],[Estimated Servings Annual]]</f>
        <v>#DIV/0!</v>
      </c>
      <c r="U4" s="105">
        <f>(Table1568[[#This Row],[Commercial Bid Price per case for NOI ($)]]-Table1568[[#This Row],[Pass-Thru Value per case ($)]])+Table1568[[#This Row],[Region 2: Fixed Fee Per Case ($)]]</f>
        <v>0</v>
      </c>
      <c r="V4" s="19" t="e">
        <f>(Table1568[[#This Row],[Commercial Bid Price per case for NOI ($)]]+Table1568[[#This Row],[Region 2: Fixed Fee Per Case ($)]])/Table1568[[#This Row],['# of CN Servings per case]]</f>
        <v>#DIV/0!</v>
      </c>
      <c r="W4" s="20" t="e">
        <f>Table1568[[#This Row],[Total Cost Per Serving (N+P)/I]]*Table1568[[#This Row],[Estimated Servings Annual]]</f>
        <v>#DIV/0!</v>
      </c>
    </row>
    <row r="5" spans="1:23" ht="30" x14ac:dyDescent="0.25">
      <c r="A5" s="38" t="s">
        <v>60</v>
      </c>
      <c r="B5" s="43" t="s">
        <v>61</v>
      </c>
      <c r="C5" s="6" t="s">
        <v>24</v>
      </c>
      <c r="D5" s="7"/>
      <c r="E5" s="7"/>
      <c r="F5" s="7"/>
      <c r="G5" s="7"/>
      <c r="H5" s="7"/>
      <c r="I5" s="7"/>
      <c r="J5" s="93">
        <v>800000</v>
      </c>
      <c r="K5" s="7"/>
      <c r="L5" s="7"/>
      <c r="M5" s="7"/>
      <c r="N5" s="7"/>
      <c r="O5" s="7"/>
      <c r="P5" s="7"/>
      <c r="Q5" s="110"/>
      <c r="R5" s="105">
        <f>(Table1568[[#This Row],[Commercial Bid Price per case for NOI ($)]]-Table1568[[#This Row],[Pass-Thru Value per case ($)]])+Table1568[[#This Row],[Region 1: Fixed Fee Per Case ($)]]</f>
        <v>0</v>
      </c>
      <c r="S5" s="18" t="e">
        <f>(Table1568[[#This Row],[Commercial Bid Price per case for NOI ($)]]+Table1568[[#This Row],[Region 1: Fixed Fee Per Case ($)]])/Table1568[[#This Row],['# of CN Servings per case]]</f>
        <v>#DIV/0!</v>
      </c>
      <c r="T5" s="118" t="e">
        <f>Table1568[[#This Row],[Total Cost Per Serving (N+O)/I]]*Table1568[[#This Row],[Estimated Servings Annual]]</f>
        <v>#DIV/0!</v>
      </c>
      <c r="U5" s="105">
        <f>(Table1568[[#This Row],[Commercial Bid Price per case for NOI ($)]]-Table1568[[#This Row],[Pass-Thru Value per case ($)]])+Table1568[[#This Row],[Region 2: Fixed Fee Per Case ($)]]</f>
        <v>0</v>
      </c>
      <c r="V5" s="19" t="e">
        <f>(Table1568[[#This Row],[Commercial Bid Price per case for NOI ($)]]+Table1568[[#This Row],[Region 2: Fixed Fee Per Case ($)]])/Table1568[[#This Row],['# of CN Servings per case]]</f>
        <v>#DIV/0!</v>
      </c>
      <c r="W5" s="20" t="e">
        <f>Table1568[[#This Row],[Total Cost Per Serving (N+P)/I]]*Table1568[[#This Row],[Estimated Servings Annual]]</f>
        <v>#DIV/0!</v>
      </c>
    </row>
    <row r="6" spans="1:23" ht="30" x14ac:dyDescent="0.25">
      <c r="A6" s="38" t="s">
        <v>60</v>
      </c>
      <c r="B6" s="43" t="s">
        <v>61</v>
      </c>
      <c r="C6" s="6" t="s">
        <v>24</v>
      </c>
      <c r="D6" s="7"/>
      <c r="E6" s="7"/>
      <c r="F6" s="7"/>
      <c r="G6" s="7"/>
      <c r="H6" s="7"/>
      <c r="I6" s="7"/>
      <c r="J6" s="93">
        <v>800000</v>
      </c>
      <c r="K6" s="7"/>
      <c r="L6" s="7"/>
      <c r="M6" s="7"/>
      <c r="N6" s="7"/>
      <c r="O6" s="7"/>
      <c r="P6" s="7"/>
      <c r="Q6" s="110"/>
      <c r="R6" s="105">
        <f>(Table1568[[#This Row],[Commercial Bid Price per case for NOI ($)]]-Table1568[[#This Row],[Pass-Thru Value per case ($)]])+Table1568[[#This Row],[Region 1: Fixed Fee Per Case ($)]]</f>
        <v>0</v>
      </c>
      <c r="S6" s="18" t="e">
        <f>(Table1568[[#This Row],[Commercial Bid Price per case for NOI ($)]]+Table1568[[#This Row],[Region 1: Fixed Fee Per Case ($)]])/Table1568[[#This Row],['# of CN Servings per case]]</f>
        <v>#DIV/0!</v>
      </c>
      <c r="T6" s="118" t="e">
        <f>Table1568[[#This Row],[Total Cost Per Serving (N+O)/I]]*Table1568[[#This Row],[Estimated Servings Annual]]</f>
        <v>#DIV/0!</v>
      </c>
      <c r="U6" s="105">
        <f>(Table1568[[#This Row],[Commercial Bid Price per case for NOI ($)]]-Table1568[[#This Row],[Pass-Thru Value per case ($)]])+Table1568[[#This Row],[Region 2: Fixed Fee Per Case ($)]]</f>
        <v>0</v>
      </c>
      <c r="V6" s="19" t="e">
        <f>(Table1568[[#This Row],[Commercial Bid Price per case for NOI ($)]]+Table1568[[#This Row],[Region 2: Fixed Fee Per Case ($)]])/Table1568[[#This Row],['# of CN Servings per case]]</f>
        <v>#DIV/0!</v>
      </c>
      <c r="W6" s="20" t="e">
        <f>Table1568[[#This Row],[Total Cost Per Serving (N+P)/I]]*Table1568[[#This Row],[Estimated Servings Annual]]</f>
        <v>#DIV/0!</v>
      </c>
    </row>
    <row r="7" spans="1:23" ht="30" x14ac:dyDescent="0.25">
      <c r="A7" s="38" t="s">
        <v>60</v>
      </c>
      <c r="B7" s="43" t="s">
        <v>61</v>
      </c>
      <c r="C7" s="7" t="s">
        <v>13</v>
      </c>
      <c r="D7" s="7"/>
      <c r="E7" s="7"/>
      <c r="F7" s="7"/>
      <c r="G7" s="7"/>
      <c r="H7" s="7"/>
      <c r="I7" s="7"/>
      <c r="J7" s="93">
        <v>800000</v>
      </c>
      <c r="K7" s="7"/>
      <c r="L7" s="7"/>
      <c r="M7" s="7"/>
      <c r="N7" s="7"/>
      <c r="O7" s="7"/>
      <c r="P7" s="7"/>
      <c r="Q7" s="110"/>
      <c r="R7" s="105">
        <f>(Table1568[[#This Row],[Commercial Bid Price per case for NOI ($)]]-Table1568[[#This Row],[Pass-Thru Value per case ($)]])+Table1568[[#This Row],[Region 1: Fixed Fee Per Case ($)]]</f>
        <v>0</v>
      </c>
      <c r="S7" s="18" t="e">
        <f>(Table1568[[#This Row],[Commercial Bid Price per case for NOI ($)]]+Table1568[[#This Row],[Region 1: Fixed Fee Per Case ($)]])/Table1568[[#This Row],['# of CN Servings per case]]</f>
        <v>#DIV/0!</v>
      </c>
      <c r="T7" s="118" t="e">
        <f>Table1568[[#This Row],[Total Cost Per Serving (N+O)/I]]*Table1568[[#This Row],[Estimated Servings Annual]]</f>
        <v>#DIV/0!</v>
      </c>
      <c r="U7" s="105">
        <f>(Table1568[[#This Row],[Commercial Bid Price per case for NOI ($)]]-Table1568[[#This Row],[Pass-Thru Value per case ($)]])+Table1568[[#This Row],[Region 2: Fixed Fee Per Case ($)]]</f>
        <v>0</v>
      </c>
      <c r="V7" s="19" t="e">
        <f>(Table1568[[#This Row],[Commercial Bid Price per case for NOI ($)]]+Table1568[[#This Row],[Region 2: Fixed Fee Per Case ($)]])/Table1568[[#This Row],['# of CN Servings per case]]</f>
        <v>#DIV/0!</v>
      </c>
      <c r="W7" s="20" t="e">
        <f>Table1568[[#This Row],[Total Cost Per Serving (N+P)/I]]*Table1568[[#This Row],[Estimated Servings Annual]]</f>
        <v>#DIV/0!</v>
      </c>
    </row>
    <row r="8" spans="1:23" ht="30" x14ac:dyDescent="0.25">
      <c r="A8" s="38" t="s">
        <v>60</v>
      </c>
      <c r="B8" s="43" t="s">
        <v>61</v>
      </c>
      <c r="C8" s="7" t="s">
        <v>13</v>
      </c>
      <c r="D8" s="7"/>
      <c r="E8" s="7"/>
      <c r="F8" s="7"/>
      <c r="G8" s="7"/>
      <c r="H8" s="7"/>
      <c r="I8" s="7"/>
      <c r="J8" s="93">
        <v>800000</v>
      </c>
      <c r="K8" s="7"/>
      <c r="L8" s="7"/>
      <c r="M8" s="7"/>
      <c r="N8" s="7"/>
      <c r="O8" s="7"/>
      <c r="P8" s="7"/>
      <c r="Q8" s="110"/>
      <c r="R8" s="105">
        <f>(Table1568[[#This Row],[Commercial Bid Price per case for NOI ($)]]-Table1568[[#This Row],[Pass-Thru Value per case ($)]])+Table1568[[#This Row],[Region 1: Fixed Fee Per Case ($)]]</f>
        <v>0</v>
      </c>
      <c r="S8" s="18" t="e">
        <f>(Table1568[[#This Row],[Commercial Bid Price per case for NOI ($)]]+Table1568[[#This Row],[Region 1: Fixed Fee Per Case ($)]])/Table1568[[#This Row],['# of CN Servings per case]]</f>
        <v>#DIV/0!</v>
      </c>
      <c r="T8" s="118" t="e">
        <f>Table1568[[#This Row],[Total Cost Per Serving (N+O)/I]]*Table1568[[#This Row],[Estimated Servings Annual]]</f>
        <v>#DIV/0!</v>
      </c>
      <c r="U8" s="105">
        <f>(Table1568[[#This Row],[Commercial Bid Price per case for NOI ($)]]-Table1568[[#This Row],[Pass-Thru Value per case ($)]])+Table1568[[#This Row],[Region 2: Fixed Fee Per Case ($)]]</f>
        <v>0</v>
      </c>
      <c r="V8" s="19" t="e">
        <f>(Table1568[[#This Row],[Commercial Bid Price per case for NOI ($)]]+Table1568[[#This Row],[Region 2: Fixed Fee Per Case ($)]])/Table1568[[#This Row],['# of CN Servings per case]]</f>
        <v>#DIV/0!</v>
      </c>
      <c r="W8" s="20" t="e">
        <f>Table1568[[#This Row],[Total Cost Per Serving (N+P)/I]]*Table1568[[#This Row],[Estimated Servings Annual]]</f>
        <v>#DIV/0!</v>
      </c>
    </row>
    <row r="9" spans="1:23" ht="30" x14ac:dyDescent="0.25">
      <c r="A9" s="38" t="s">
        <v>60</v>
      </c>
      <c r="B9" s="43" t="s">
        <v>61</v>
      </c>
      <c r="C9" s="7" t="s">
        <v>13</v>
      </c>
      <c r="D9" s="7"/>
      <c r="E9" s="7"/>
      <c r="F9" s="7"/>
      <c r="G9" s="7"/>
      <c r="H9" s="7"/>
      <c r="I9" s="7"/>
      <c r="J9" s="93">
        <v>800000</v>
      </c>
      <c r="K9" s="7"/>
      <c r="L9" s="7"/>
      <c r="M9" s="7"/>
      <c r="N9" s="7"/>
      <c r="O9" s="7"/>
      <c r="P9" s="7"/>
      <c r="Q9" s="110"/>
      <c r="R9" s="105">
        <f>(Table1568[[#This Row],[Commercial Bid Price per case for NOI ($)]]-Table1568[[#This Row],[Pass-Thru Value per case ($)]])+Table1568[[#This Row],[Region 1: Fixed Fee Per Case ($)]]</f>
        <v>0</v>
      </c>
      <c r="S9" s="18" t="e">
        <f>(Table1568[[#This Row],[Commercial Bid Price per case for NOI ($)]]+Table1568[[#This Row],[Region 1: Fixed Fee Per Case ($)]])/Table1568[[#This Row],['# of CN Servings per case]]</f>
        <v>#DIV/0!</v>
      </c>
      <c r="T9" s="118" t="e">
        <f>Table1568[[#This Row],[Total Cost Per Serving (N+O)/I]]*Table1568[[#This Row],[Estimated Servings Annual]]</f>
        <v>#DIV/0!</v>
      </c>
      <c r="U9" s="105">
        <f>(Table1568[[#This Row],[Commercial Bid Price per case for NOI ($)]]-Table1568[[#This Row],[Pass-Thru Value per case ($)]])+Table1568[[#This Row],[Region 2: Fixed Fee Per Case ($)]]</f>
        <v>0</v>
      </c>
      <c r="V9" s="19" t="e">
        <f>(Table1568[[#This Row],[Commercial Bid Price per case for NOI ($)]]+Table1568[[#This Row],[Region 2: Fixed Fee Per Case ($)]])/Table1568[[#This Row],['# of CN Servings per case]]</f>
        <v>#DIV/0!</v>
      </c>
      <c r="W9" s="20" t="e">
        <f>Table1568[[#This Row],[Total Cost Per Serving (N+P)/I]]*Table1568[[#This Row],[Estimated Servings Annual]]</f>
        <v>#DIV/0!</v>
      </c>
    </row>
    <row r="10" spans="1:23" ht="30.75" thickBot="1" x14ac:dyDescent="0.3">
      <c r="A10" s="38" t="s">
        <v>60</v>
      </c>
      <c r="B10" s="44" t="s">
        <v>61</v>
      </c>
      <c r="C10" s="9" t="s">
        <v>13</v>
      </c>
      <c r="D10" s="9"/>
      <c r="E10" s="9"/>
      <c r="F10" s="9"/>
      <c r="G10" s="9"/>
      <c r="H10" s="9"/>
      <c r="I10" s="9"/>
      <c r="J10" s="94">
        <v>800000</v>
      </c>
      <c r="K10" s="9"/>
      <c r="L10" s="9"/>
      <c r="M10" s="9"/>
      <c r="N10" s="9"/>
      <c r="O10" s="9"/>
      <c r="P10" s="9"/>
      <c r="Q10" s="111"/>
      <c r="R10" s="106">
        <f>(Table1568[[#This Row],[Commercial Bid Price per case for NOI ($)]]-Table1568[[#This Row],[Pass-Thru Value per case ($)]])+Table1568[[#This Row],[Region 1: Fixed Fee Per Case ($)]]</f>
        <v>0</v>
      </c>
      <c r="S10" s="21" t="e">
        <f>(Table1568[[#This Row],[Commercial Bid Price per case for NOI ($)]]+Table1568[[#This Row],[Region 1: Fixed Fee Per Case ($)]])/Table1568[[#This Row],['# of CN Servings per case]]</f>
        <v>#DIV/0!</v>
      </c>
      <c r="T10" s="120" t="e">
        <f>Table1568[[#This Row],[Total Cost Per Serving (N+O)/I]]*Table1568[[#This Row],[Estimated Servings Annual]]</f>
        <v>#DIV/0!</v>
      </c>
      <c r="U10" s="106">
        <f>(Table1568[[#This Row],[Commercial Bid Price per case for NOI ($)]]-Table1568[[#This Row],[Pass-Thru Value per case ($)]])+Table1568[[#This Row],[Region 2: Fixed Fee Per Case ($)]]</f>
        <v>0</v>
      </c>
      <c r="V10" s="22" t="e">
        <f>(Table1568[[#This Row],[Commercial Bid Price per case for NOI ($)]]+Table1568[[#This Row],[Region 2: Fixed Fee Per Case ($)]])/Table1568[[#This Row],['# of CN Servings per case]]</f>
        <v>#DIV/0!</v>
      </c>
      <c r="W10" s="23" t="e">
        <f>Table1568[[#This Row],[Total Cost Per Serving (N+P)/I]]*Table1568[[#This Row],[Estimated Servings Annual]]</f>
        <v>#DIV/0!</v>
      </c>
    </row>
    <row r="11" spans="1:23" ht="30" x14ac:dyDescent="0.25">
      <c r="A11" s="38" t="s">
        <v>60</v>
      </c>
      <c r="B11" s="42" t="s">
        <v>62</v>
      </c>
      <c r="C11" s="3" t="s">
        <v>26</v>
      </c>
      <c r="D11" s="4"/>
      <c r="E11" s="4"/>
      <c r="F11" s="4"/>
      <c r="G11" s="4"/>
      <c r="H11" s="4"/>
      <c r="I11" s="4"/>
      <c r="J11" s="92">
        <v>650000</v>
      </c>
      <c r="K11" s="4"/>
      <c r="L11" s="4"/>
      <c r="M11" s="4"/>
      <c r="N11" s="4"/>
      <c r="O11" s="4"/>
      <c r="P11" s="4"/>
      <c r="Q11" s="109"/>
      <c r="R11" s="104">
        <f>(Table1568[[#This Row],[Commercial Bid Price per case for NOI ($)]]-Table1568[[#This Row],[Pass-Thru Value per case ($)]])+Table1568[[#This Row],[Region 1: Fixed Fee Per Case ($)]]</f>
        <v>0</v>
      </c>
      <c r="S11" s="15" t="e">
        <f>(Table1568[[#This Row],[Commercial Bid Price per case for NOI ($)]]+Table1568[[#This Row],[Region 1: Fixed Fee Per Case ($)]])/Table1568[[#This Row],['# of CN Servings per case]]</f>
        <v>#DIV/0!</v>
      </c>
      <c r="T11" s="115" t="e">
        <f>Table1568[[#This Row],[Total Cost Per Serving (N+O)/I]]*Table1568[[#This Row],[Estimated Servings Annual]]</f>
        <v>#DIV/0!</v>
      </c>
      <c r="U11" s="104">
        <f>(Table1568[[#This Row],[Commercial Bid Price per case for NOI ($)]]-Table1568[[#This Row],[Pass-Thru Value per case ($)]])+Table1568[[#This Row],[Region 2: Fixed Fee Per Case ($)]]</f>
        <v>0</v>
      </c>
      <c r="V11" s="16" t="e">
        <f>(Table1568[[#This Row],[Commercial Bid Price per case for NOI ($)]]+Table1568[[#This Row],[Region 2: Fixed Fee Per Case ($)]])/Table1568[[#This Row],['# of CN Servings per case]]</f>
        <v>#DIV/0!</v>
      </c>
      <c r="W11" s="17" t="e">
        <f>Table1568[[#This Row],[Total Cost Per Serving (N+P)/I]]*Table1568[[#This Row],[Estimated Servings Annual]]</f>
        <v>#DIV/0!</v>
      </c>
    </row>
    <row r="12" spans="1:23" ht="30" x14ac:dyDescent="0.25">
      <c r="A12" s="38" t="s">
        <v>60</v>
      </c>
      <c r="B12" s="43" t="s">
        <v>62</v>
      </c>
      <c r="C12" s="6" t="s">
        <v>26</v>
      </c>
      <c r="D12" s="7"/>
      <c r="E12" s="7"/>
      <c r="F12" s="7"/>
      <c r="G12" s="7"/>
      <c r="H12" s="7"/>
      <c r="I12" s="7"/>
      <c r="J12" s="93">
        <v>650000</v>
      </c>
      <c r="K12" s="7"/>
      <c r="L12" s="7"/>
      <c r="M12" s="7"/>
      <c r="N12" s="7"/>
      <c r="O12" s="7"/>
      <c r="P12" s="7"/>
      <c r="Q12" s="110"/>
      <c r="R12" s="105">
        <f>(Table1568[[#This Row],[Commercial Bid Price per case for NOI ($)]]-Table1568[[#This Row],[Pass-Thru Value per case ($)]])+Table1568[[#This Row],[Region 1: Fixed Fee Per Case ($)]]</f>
        <v>0</v>
      </c>
      <c r="S12" s="18" t="e">
        <f>(Table1568[[#This Row],[Commercial Bid Price per case for NOI ($)]]+Table1568[[#This Row],[Region 1: Fixed Fee Per Case ($)]])/Table1568[[#This Row],['# of CN Servings per case]]</f>
        <v>#DIV/0!</v>
      </c>
      <c r="T12" s="118" t="e">
        <f>Table1568[[#This Row],[Total Cost Per Serving (N+O)/I]]*Table1568[[#This Row],[Estimated Servings Annual]]</f>
        <v>#DIV/0!</v>
      </c>
      <c r="U12" s="105">
        <f>(Table1568[[#This Row],[Commercial Bid Price per case for NOI ($)]]-Table1568[[#This Row],[Pass-Thru Value per case ($)]])+Table1568[[#This Row],[Region 2: Fixed Fee Per Case ($)]]</f>
        <v>0</v>
      </c>
      <c r="V12" s="19" t="e">
        <f>(Table1568[[#This Row],[Commercial Bid Price per case for NOI ($)]]+Table1568[[#This Row],[Region 2: Fixed Fee Per Case ($)]])/Table1568[[#This Row],['# of CN Servings per case]]</f>
        <v>#DIV/0!</v>
      </c>
      <c r="W12" s="20" t="e">
        <f>Table1568[[#This Row],[Total Cost Per Serving (N+P)/I]]*Table1568[[#This Row],[Estimated Servings Annual]]</f>
        <v>#DIV/0!</v>
      </c>
    </row>
    <row r="13" spans="1:23" ht="30" x14ac:dyDescent="0.25">
      <c r="A13" s="38" t="s">
        <v>60</v>
      </c>
      <c r="B13" s="43" t="s">
        <v>62</v>
      </c>
      <c r="C13" s="6" t="s">
        <v>24</v>
      </c>
      <c r="D13" s="7"/>
      <c r="E13" s="7"/>
      <c r="F13" s="7"/>
      <c r="G13" s="7"/>
      <c r="H13" s="7"/>
      <c r="I13" s="7"/>
      <c r="J13" s="93">
        <v>650000</v>
      </c>
      <c r="K13" s="7"/>
      <c r="L13" s="7"/>
      <c r="M13" s="7"/>
      <c r="N13" s="7"/>
      <c r="O13" s="7"/>
      <c r="P13" s="7"/>
      <c r="Q13" s="110"/>
      <c r="R13" s="105">
        <f>(Table1568[[#This Row],[Commercial Bid Price per case for NOI ($)]]-Table1568[[#This Row],[Pass-Thru Value per case ($)]])+Table1568[[#This Row],[Region 1: Fixed Fee Per Case ($)]]</f>
        <v>0</v>
      </c>
      <c r="S13" s="18" t="e">
        <f>(Table1568[[#This Row],[Commercial Bid Price per case for NOI ($)]]+Table1568[[#This Row],[Region 1: Fixed Fee Per Case ($)]])/Table1568[[#This Row],['# of CN Servings per case]]</f>
        <v>#DIV/0!</v>
      </c>
      <c r="T13" s="118" t="e">
        <f>Table1568[[#This Row],[Total Cost Per Serving (N+O)/I]]*Table1568[[#This Row],[Estimated Servings Annual]]</f>
        <v>#DIV/0!</v>
      </c>
      <c r="U13" s="105">
        <f>(Table1568[[#This Row],[Commercial Bid Price per case for NOI ($)]]-Table1568[[#This Row],[Pass-Thru Value per case ($)]])+Table1568[[#This Row],[Region 2: Fixed Fee Per Case ($)]]</f>
        <v>0</v>
      </c>
      <c r="V13" s="19" t="e">
        <f>(Table1568[[#This Row],[Commercial Bid Price per case for NOI ($)]]+Table1568[[#This Row],[Region 2: Fixed Fee Per Case ($)]])/Table1568[[#This Row],['# of CN Servings per case]]</f>
        <v>#DIV/0!</v>
      </c>
      <c r="W13" s="20" t="e">
        <f>Table1568[[#This Row],[Total Cost Per Serving (N+P)/I]]*Table1568[[#This Row],[Estimated Servings Annual]]</f>
        <v>#DIV/0!</v>
      </c>
    </row>
    <row r="14" spans="1:23" ht="30" x14ac:dyDescent="0.25">
      <c r="A14" s="38" t="s">
        <v>60</v>
      </c>
      <c r="B14" s="43" t="s">
        <v>62</v>
      </c>
      <c r="C14" s="6" t="s">
        <v>24</v>
      </c>
      <c r="D14" s="7"/>
      <c r="E14" s="7"/>
      <c r="F14" s="7"/>
      <c r="G14" s="7"/>
      <c r="H14" s="7"/>
      <c r="I14" s="7"/>
      <c r="J14" s="93">
        <v>650000</v>
      </c>
      <c r="K14" s="7"/>
      <c r="L14" s="7"/>
      <c r="M14" s="7"/>
      <c r="N14" s="7"/>
      <c r="O14" s="7"/>
      <c r="P14" s="7"/>
      <c r="Q14" s="110"/>
      <c r="R14" s="105">
        <f>(Table1568[[#This Row],[Commercial Bid Price per case for NOI ($)]]-Table1568[[#This Row],[Pass-Thru Value per case ($)]])+Table1568[[#This Row],[Region 1: Fixed Fee Per Case ($)]]</f>
        <v>0</v>
      </c>
      <c r="S14" s="18" t="e">
        <f>(Table1568[[#This Row],[Commercial Bid Price per case for NOI ($)]]+Table1568[[#This Row],[Region 1: Fixed Fee Per Case ($)]])/Table1568[[#This Row],['# of CN Servings per case]]</f>
        <v>#DIV/0!</v>
      </c>
      <c r="T14" s="118" t="e">
        <f>Table1568[[#This Row],[Total Cost Per Serving (N+O)/I]]*Table1568[[#This Row],[Estimated Servings Annual]]</f>
        <v>#DIV/0!</v>
      </c>
      <c r="U14" s="105">
        <f>(Table1568[[#This Row],[Commercial Bid Price per case for NOI ($)]]-Table1568[[#This Row],[Pass-Thru Value per case ($)]])+Table1568[[#This Row],[Region 2: Fixed Fee Per Case ($)]]</f>
        <v>0</v>
      </c>
      <c r="V14" s="19" t="e">
        <f>(Table1568[[#This Row],[Commercial Bid Price per case for NOI ($)]]+Table1568[[#This Row],[Region 2: Fixed Fee Per Case ($)]])/Table1568[[#This Row],['# of CN Servings per case]]</f>
        <v>#DIV/0!</v>
      </c>
      <c r="W14" s="20" t="e">
        <f>Table1568[[#This Row],[Total Cost Per Serving (N+P)/I]]*Table1568[[#This Row],[Estimated Servings Annual]]</f>
        <v>#DIV/0!</v>
      </c>
    </row>
    <row r="15" spans="1:23" ht="30" x14ac:dyDescent="0.25">
      <c r="A15" s="38" t="s">
        <v>60</v>
      </c>
      <c r="B15" s="43" t="s">
        <v>62</v>
      </c>
      <c r="C15" s="7" t="s">
        <v>13</v>
      </c>
      <c r="D15" s="7"/>
      <c r="E15" s="7"/>
      <c r="F15" s="7"/>
      <c r="G15" s="7"/>
      <c r="H15" s="7"/>
      <c r="I15" s="7"/>
      <c r="J15" s="93">
        <v>650000</v>
      </c>
      <c r="K15" s="7"/>
      <c r="L15" s="7"/>
      <c r="M15" s="7"/>
      <c r="N15" s="7"/>
      <c r="O15" s="7"/>
      <c r="P15" s="7"/>
      <c r="Q15" s="110"/>
      <c r="R15" s="105">
        <f>(Table1568[[#This Row],[Commercial Bid Price per case for NOI ($)]]-Table1568[[#This Row],[Pass-Thru Value per case ($)]])+Table1568[[#This Row],[Region 1: Fixed Fee Per Case ($)]]</f>
        <v>0</v>
      </c>
      <c r="S15" s="18" t="e">
        <f>(Table1568[[#This Row],[Commercial Bid Price per case for NOI ($)]]+Table1568[[#This Row],[Region 1: Fixed Fee Per Case ($)]])/Table1568[[#This Row],['# of CN Servings per case]]</f>
        <v>#DIV/0!</v>
      </c>
      <c r="T15" s="118" t="e">
        <f>Table1568[[#This Row],[Total Cost Per Serving (N+O)/I]]*Table1568[[#This Row],[Estimated Servings Annual]]</f>
        <v>#DIV/0!</v>
      </c>
      <c r="U15" s="105">
        <f>(Table1568[[#This Row],[Commercial Bid Price per case for NOI ($)]]-Table1568[[#This Row],[Pass-Thru Value per case ($)]])+Table1568[[#This Row],[Region 2: Fixed Fee Per Case ($)]]</f>
        <v>0</v>
      </c>
      <c r="V15" s="19" t="e">
        <f>(Table1568[[#This Row],[Commercial Bid Price per case for NOI ($)]]+Table1568[[#This Row],[Region 2: Fixed Fee Per Case ($)]])/Table1568[[#This Row],['# of CN Servings per case]]</f>
        <v>#DIV/0!</v>
      </c>
      <c r="W15" s="20" t="e">
        <f>Table1568[[#This Row],[Total Cost Per Serving (N+P)/I]]*Table1568[[#This Row],[Estimated Servings Annual]]</f>
        <v>#DIV/0!</v>
      </c>
    </row>
    <row r="16" spans="1:23" ht="30" x14ac:dyDescent="0.25">
      <c r="A16" s="38" t="s">
        <v>60</v>
      </c>
      <c r="B16" s="43" t="s">
        <v>62</v>
      </c>
      <c r="C16" s="7" t="s">
        <v>13</v>
      </c>
      <c r="D16" s="7"/>
      <c r="E16" s="7"/>
      <c r="F16" s="7"/>
      <c r="G16" s="7"/>
      <c r="H16" s="7"/>
      <c r="I16" s="7"/>
      <c r="J16" s="93">
        <v>650000</v>
      </c>
      <c r="K16" s="7"/>
      <c r="L16" s="7"/>
      <c r="M16" s="7"/>
      <c r="N16" s="7"/>
      <c r="O16" s="7"/>
      <c r="P16" s="7"/>
      <c r="Q16" s="110"/>
      <c r="R16" s="105">
        <f>(Table1568[[#This Row],[Commercial Bid Price per case for NOI ($)]]-Table1568[[#This Row],[Pass-Thru Value per case ($)]])+Table1568[[#This Row],[Region 1: Fixed Fee Per Case ($)]]</f>
        <v>0</v>
      </c>
      <c r="S16" s="18" t="e">
        <f>(Table1568[[#This Row],[Commercial Bid Price per case for NOI ($)]]+Table1568[[#This Row],[Region 1: Fixed Fee Per Case ($)]])/Table1568[[#This Row],['# of CN Servings per case]]</f>
        <v>#DIV/0!</v>
      </c>
      <c r="T16" s="118" t="e">
        <f>Table1568[[#This Row],[Total Cost Per Serving (N+O)/I]]*Table1568[[#This Row],[Estimated Servings Annual]]</f>
        <v>#DIV/0!</v>
      </c>
      <c r="U16" s="105">
        <f>(Table1568[[#This Row],[Commercial Bid Price per case for NOI ($)]]-Table1568[[#This Row],[Pass-Thru Value per case ($)]])+Table1568[[#This Row],[Region 2: Fixed Fee Per Case ($)]]</f>
        <v>0</v>
      </c>
      <c r="V16" s="19" t="e">
        <f>(Table1568[[#This Row],[Commercial Bid Price per case for NOI ($)]]+Table1568[[#This Row],[Region 2: Fixed Fee Per Case ($)]])/Table1568[[#This Row],['# of CN Servings per case]]</f>
        <v>#DIV/0!</v>
      </c>
      <c r="W16" s="20" t="e">
        <f>Table1568[[#This Row],[Total Cost Per Serving (N+P)/I]]*Table1568[[#This Row],[Estimated Servings Annual]]</f>
        <v>#DIV/0!</v>
      </c>
    </row>
    <row r="17" spans="1:23" ht="30" x14ac:dyDescent="0.25">
      <c r="A17" s="38" t="s">
        <v>60</v>
      </c>
      <c r="B17" s="43" t="s">
        <v>62</v>
      </c>
      <c r="C17" s="7" t="s">
        <v>13</v>
      </c>
      <c r="D17" s="7"/>
      <c r="E17" s="7"/>
      <c r="F17" s="7"/>
      <c r="G17" s="7"/>
      <c r="H17" s="7"/>
      <c r="I17" s="7"/>
      <c r="J17" s="93">
        <v>650000</v>
      </c>
      <c r="K17" s="7"/>
      <c r="L17" s="7"/>
      <c r="M17" s="7"/>
      <c r="N17" s="7"/>
      <c r="O17" s="7"/>
      <c r="P17" s="7"/>
      <c r="Q17" s="110"/>
      <c r="R17" s="105">
        <f>(Table1568[[#This Row],[Commercial Bid Price per case for NOI ($)]]-Table1568[[#This Row],[Pass-Thru Value per case ($)]])+Table1568[[#This Row],[Region 1: Fixed Fee Per Case ($)]]</f>
        <v>0</v>
      </c>
      <c r="S17" s="18" t="e">
        <f>(Table1568[[#This Row],[Commercial Bid Price per case for NOI ($)]]+Table1568[[#This Row],[Region 1: Fixed Fee Per Case ($)]])/Table1568[[#This Row],['# of CN Servings per case]]</f>
        <v>#DIV/0!</v>
      </c>
      <c r="T17" s="118" t="e">
        <f>Table1568[[#This Row],[Total Cost Per Serving (N+O)/I]]*Table1568[[#This Row],[Estimated Servings Annual]]</f>
        <v>#DIV/0!</v>
      </c>
      <c r="U17" s="105">
        <f>(Table1568[[#This Row],[Commercial Bid Price per case for NOI ($)]]-Table1568[[#This Row],[Pass-Thru Value per case ($)]])+Table1568[[#This Row],[Region 2: Fixed Fee Per Case ($)]]</f>
        <v>0</v>
      </c>
      <c r="V17" s="19" t="e">
        <f>(Table1568[[#This Row],[Commercial Bid Price per case for NOI ($)]]+Table1568[[#This Row],[Region 2: Fixed Fee Per Case ($)]])/Table1568[[#This Row],['# of CN Servings per case]]</f>
        <v>#DIV/0!</v>
      </c>
      <c r="W17" s="20" t="e">
        <f>Table1568[[#This Row],[Total Cost Per Serving (N+P)/I]]*Table1568[[#This Row],[Estimated Servings Annual]]</f>
        <v>#DIV/0!</v>
      </c>
    </row>
    <row r="18" spans="1:23" ht="30.75" thickBot="1" x14ac:dyDescent="0.3">
      <c r="A18" s="38" t="s">
        <v>60</v>
      </c>
      <c r="B18" s="44" t="s">
        <v>62</v>
      </c>
      <c r="C18" s="9" t="s">
        <v>13</v>
      </c>
      <c r="D18" s="9"/>
      <c r="E18" s="9"/>
      <c r="F18" s="9"/>
      <c r="G18" s="9"/>
      <c r="H18" s="9"/>
      <c r="I18" s="9"/>
      <c r="J18" s="94">
        <v>650000</v>
      </c>
      <c r="K18" s="9"/>
      <c r="L18" s="9"/>
      <c r="M18" s="9"/>
      <c r="N18" s="9"/>
      <c r="O18" s="9"/>
      <c r="P18" s="9"/>
      <c r="Q18" s="111"/>
      <c r="R18" s="106">
        <f>(Table1568[[#This Row],[Commercial Bid Price per case for NOI ($)]]-Table1568[[#This Row],[Pass-Thru Value per case ($)]])+Table1568[[#This Row],[Region 1: Fixed Fee Per Case ($)]]</f>
        <v>0</v>
      </c>
      <c r="S18" s="21" t="e">
        <f>(Table1568[[#This Row],[Commercial Bid Price per case for NOI ($)]]+Table1568[[#This Row],[Region 1: Fixed Fee Per Case ($)]])/Table1568[[#This Row],['# of CN Servings per case]]</f>
        <v>#DIV/0!</v>
      </c>
      <c r="T18" s="120" t="e">
        <f>Table1568[[#This Row],[Total Cost Per Serving (N+O)/I]]*Table1568[[#This Row],[Estimated Servings Annual]]</f>
        <v>#DIV/0!</v>
      </c>
      <c r="U18" s="106">
        <f>(Table1568[[#This Row],[Commercial Bid Price per case for NOI ($)]]-Table1568[[#This Row],[Pass-Thru Value per case ($)]])+Table1568[[#This Row],[Region 2: Fixed Fee Per Case ($)]]</f>
        <v>0</v>
      </c>
      <c r="V18" s="22" t="e">
        <f>(Table1568[[#This Row],[Commercial Bid Price per case for NOI ($)]]+Table1568[[#This Row],[Region 2: Fixed Fee Per Case ($)]])/Table1568[[#This Row],['# of CN Servings per case]]</f>
        <v>#DIV/0!</v>
      </c>
      <c r="W18" s="23" t="e">
        <f>Table1568[[#This Row],[Total Cost Per Serving (N+P)/I]]*Table1568[[#This Row],[Estimated Servings Annual]]</f>
        <v>#DIV/0!</v>
      </c>
    </row>
    <row r="19" spans="1:23" ht="30" x14ac:dyDescent="0.25">
      <c r="A19" s="38" t="s">
        <v>60</v>
      </c>
      <c r="B19" s="42" t="s">
        <v>63</v>
      </c>
      <c r="C19" s="3" t="s">
        <v>26</v>
      </c>
      <c r="D19" s="4"/>
      <c r="E19" s="4"/>
      <c r="F19" s="4"/>
      <c r="G19" s="4"/>
      <c r="H19" s="4"/>
      <c r="I19" s="4"/>
      <c r="J19" s="92">
        <v>350000</v>
      </c>
      <c r="K19" s="4"/>
      <c r="L19" s="4"/>
      <c r="M19" s="4"/>
      <c r="N19" s="4"/>
      <c r="O19" s="4"/>
      <c r="P19" s="4"/>
      <c r="Q19" s="109"/>
      <c r="R19" s="104">
        <f>(Table1568[[#This Row],[Commercial Bid Price per case for NOI ($)]]-Table1568[[#This Row],[Pass-Thru Value per case ($)]])+Table1568[[#This Row],[Region 1: Fixed Fee Per Case ($)]]</f>
        <v>0</v>
      </c>
      <c r="S19" s="15" t="e">
        <f>(Table1568[[#This Row],[Commercial Bid Price per case for NOI ($)]]+Table1568[[#This Row],[Region 1: Fixed Fee Per Case ($)]])/Table1568[[#This Row],['# of CN Servings per case]]</f>
        <v>#DIV/0!</v>
      </c>
      <c r="T19" s="115" t="e">
        <f>Table1568[[#This Row],[Total Cost Per Serving (N+O)/I]]*Table1568[[#This Row],[Estimated Servings Annual]]</f>
        <v>#DIV/0!</v>
      </c>
      <c r="U19" s="104">
        <f>(Table1568[[#This Row],[Commercial Bid Price per case for NOI ($)]]-Table1568[[#This Row],[Pass-Thru Value per case ($)]])+Table1568[[#This Row],[Region 2: Fixed Fee Per Case ($)]]</f>
        <v>0</v>
      </c>
      <c r="V19" s="16" t="e">
        <f>(Table1568[[#This Row],[Commercial Bid Price per case for NOI ($)]]+Table1568[[#This Row],[Region 2: Fixed Fee Per Case ($)]])/Table1568[[#This Row],['# of CN Servings per case]]</f>
        <v>#DIV/0!</v>
      </c>
      <c r="W19" s="17" t="e">
        <f>Table1568[[#This Row],[Total Cost Per Serving (N+P)/I]]*Table1568[[#This Row],[Estimated Servings Annual]]</f>
        <v>#DIV/0!</v>
      </c>
    </row>
    <row r="20" spans="1:23" ht="30" x14ac:dyDescent="0.25">
      <c r="A20" s="38" t="s">
        <v>60</v>
      </c>
      <c r="B20" s="43" t="s">
        <v>63</v>
      </c>
      <c r="C20" s="6" t="s">
        <v>26</v>
      </c>
      <c r="D20" s="7"/>
      <c r="E20" s="7"/>
      <c r="F20" s="7"/>
      <c r="G20" s="7"/>
      <c r="H20" s="7"/>
      <c r="I20" s="7"/>
      <c r="J20" s="93">
        <v>350000</v>
      </c>
      <c r="K20" s="7"/>
      <c r="L20" s="7"/>
      <c r="M20" s="7"/>
      <c r="N20" s="7"/>
      <c r="O20" s="7"/>
      <c r="P20" s="7"/>
      <c r="Q20" s="110"/>
      <c r="R20" s="105">
        <f>(Table1568[[#This Row],[Commercial Bid Price per case for NOI ($)]]-Table1568[[#This Row],[Pass-Thru Value per case ($)]])+Table1568[[#This Row],[Region 1: Fixed Fee Per Case ($)]]</f>
        <v>0</v>
      </c>
      <c r="S20" s="18" t="e">
        <f>(Table1568[[#This Row],[Commercial Bid Price per case for NOI ($)]]+Table1568[[#This Row],[Region 1: Fixed Fee Per Case ($)]])/Table1568[[#This Row],['# of CN Servings per case]]</f>
        <v>#DIV/0!</v>
      </c>
      <c r="T20" s="118" t="e">
        <f>Table1568[[#This Row],[Total Cost Per Serving (N+O)/I]]*Table1568[[#This Row],[Estimated Servings Annual]]</f>
        <v>#DIV/0!</v>
      </c>
      <c r="U20" s="105">
        <f>(Table1568[[#This Row],[Commercial Bid Price per case for NOI ($)]]-Table1568[[#This Row],[Pass-Thru Value per case ($)]])+Table1568[[#This Row],[Region 2: Fixed Fee Per Case ($)]]</f>
        <v>0</v>
      </c>
      <c r="V20" s="19" t="e">
        <f>(Table1568[[#This Row],[Commercial Bid Price per case for NOI ($)]]+Table1568[[#This Row],[Region 2: Fixed Fee Per Case ($)]])/Table1568[[#This Row],['# of CN Servings per case]]</f>
        <v>#DIV/0!</v>
      </c>
      <c r="W20" s="20" t="e">
        <f>Table1568[[#This Row],[Total Cost Per Serving (N+P)/I]]*Table1568[[#This Row],[Estimated Servings Annual]]</f>
        <v>#DIV/0!</v>
      </c>
    </row>
    <row r="21" spans="1:23" ht="30" x14ac:dyDescent="0.25">
      <c r="A21" s="38" t="s">
        <v>60</v>
      </c>
      <c r="B21" s="43" t="s">
        <v>63</v>
      </c>
      <c r="C21" s="6" t="s">
        <v>24</v>
      </c>
      <c r="D21" s="7"/>
      <c r="E21" s="7"/>
      <c r="F21" s="7"/>
      <c r="G21" s="7"/>
      <c r="H21" s="7"/>
      <c r="I21" s="7"/>
      <c r="J21" s="93">
        <v>350000</v>
      </c>
      <c r="K21" s="7"/>
      <c r="L21" s="7"/>
      <c r="M21" s="7"/>
      <c r="N21" s="7"/>
      <c r="O21" s="7"/>
      <c r="P21" s="7"/>
      <c r="Q21" s="110"/>
      <c r="R21" s="105">
        <f>(Table1568[[#This Row],[Commercial Bid Price per case for NOI ($)]]-Table1568[[#This Row],[Pass-Thru Value per case ($)]])+Table1568[[#This Row],[Region 1: Fixed Fee Per Case ($)]]</f>
        <v>0</v>
      </c>
      <c r="S21" s="18" t="e">
        <f>(Table1568[[#This Row],[Commercial Bid Price per case for NOI ($)]]+Table1568[[#This Row],[Region 1: Fixed Fee Per Case ($)]])/Table1568[[#This Row],['# of CN Servings per case]]</f>
        <v>#DIV/0!</v>
      </c>
      <c r="T21" s="118" t="e">
        <f>Table1568[[#This Row],[Total Cost Per Serving (N+O)/I]]*Table1568[[#This Row],[Estimated Servings Annual]]</f>
        <v>#DIV/0!</v>
      </c>
      <c r="U21" s="105">
        <f>(Table1568[[#This Row],[Commercial Bid Price per case for NOI ($)]]-Table1568[[#This Row],[Pass-Thru Value per case ($)]])+Table1568[[#This Row],[Region 2: Fixed Fee Per Case ($)]]</f>
        <v>0</v>
      </c>
      <c r="V21" s="19" t="e">
        <f>(Table1568[[#This Row],[Commercial Bid Price per case for NOI ($)]]+Table1568[[#This Row],[Region 2: Fixed Fee Per Case ($)]])/Table1568[[#This Row],['# of CN Servings per case]]</f>
        <v>#DIV/0!</v>
      </c>
      <c r="W21" s="20" t="e">
        <f>Table1568[[#This Row],[Total Cost Per Serving (N+P)/I]]*Table1568[[#This Row],[Estimated Servings Annual]]</f>
        <v>#DIV/0!</v>
      </c>
    </row>
    <row r="22" spans="1:23" ht="30" x14ac:dyDescent="0.25">
      <c r="A22" s="38" t="s">
        <v>60</v>
      </c>
      <c r="B22" s="43" t="s">
        <v>63</v>
      </c>
      <c r="C22" s="6" t="s">
        <v>24</v>
      </c>
      <c r="D22" s="7"/>
      <c r="E22" s="7"/>
      <c r="F22" s="7"/>
      <c r="G22" s="7"/>
      <c r="H22" s="7"/>
      <c r="I22" s="7"/>
      <c r="J22" s="93">
        <v>350000</v>
      </c>
      <c r="K22" s="7"/>
      <c r="L22" s="7"/>
      <c r="M22" s="7"/>
      <c r="N22" s="7"/>
      <c r="O22" s="7"/>
      <c r="P22" s="7"/>
      <c r="Q22" s="110"/>
      <c r="R22" s="105">
        <f>(Table1568[[#This Row],[Commercial Bid Price per case for NOI ($)]]-Table1568[[#This Row],[Pass-Thru Value per case ($)]])+Table1568[[#This Row],[Region 1: Fixed Fee Per Case ($)]]</f>
        <v>0</v>
      </c>
      <c r="S22" s="18" t="e">
        <f>(Table1568[[#This Row],[Commercial Bid Price per case for NOI ($)]]+Table1568[[#This Row],[Region 1: Fixed Fee Per Case ($)]])/Table1568[[#This Row],['# of CN Servings per case]]</f>
        <v>#DIV/0!</v>
      </c>
      <c r="T22" s="118" t="e">
        <f>Table1568[[#This Row],[Total Cost Per Serving (N+O)/I]]*Table1568[[#This Row],[Estimated Servings Annual]]</f>
        <v>#DIV/0!</v>
      </c>
      <c r="U22" s="105">
        <f>(Table1568[[#This Row],[Commercial Bid Price per case for NOI ($)]]-Table1568[[#This Row],[Pass-Thru Value per case ($)]])+Table1568[[#This Row],[Region 2: Fixed Fee Per Case ($)]]</f>
        <v>0</v>
      </c>
      <c r="V22" s="19" t="e">
        <f>(Table1568[[#This Row],[Commercial Bid Price per case for NOI ($)]]+Table1568[[#This Row],[Region 2: Fixed Fee Per Case ($)]])/Table1568[[#This Row],['# of CN Servings per case]]</f>
        <v>#DIV/0!</v>
      </c>
      <c r="W22" s="20" t="e">
        <f>Table1568[[#This Row],[Total Cost Per Serving (N+P)/I]]*Table1568[[#This Row],[Estimated Servings Annual]]</f>
        <v>#DIV/0!</v>
      </c>
    </row>
    <row r="23" spans="1:23" ht="30" x14ac:dyDescent="0.25">
      <c r="A23" s="38" t="s">
        <v>60</v>
      </c>
      <c r="B23" s="43" t="s">
        <v>63</v>
      </c>
      <c r="C23" s="7" t="s">
        <v>13</v>
      </c>
      <c r="D23" s="7"/>
      <c r="E23" s="7"/>
      <c r="F23" s="7"/>
      <c r="G23" s="7"/>
      <c r="H23" s="7"/>
      <c r="I23" s="7"/>
      <c r="J23" s="93">
        <v>350000</v>
      </c>
      <c r="K23" s="7"/>
      <c r="L23" s="7"/>
      <c r="M23" s="7"/>
      <c r="N23" s="7"/>
      <c r="O23" s="7"/>
      <c r="P23" s="7"/>
      <c r="Q23" s="110"/>
      <c r="R23" s="105">
        <f>(Table1568[[#This Row],[Commercial Bid Price per case for NOI ($)]]-Table1568[[#This Row],[Pass-Thru Value per case ($)]])+Table1568[[#This Row],[Region 1: Fixed Fee Per Case ($)]]</f>
        <v>0</v>
      </c>
      <c r="S23" s="18" t="e">
        <f>(Table1568[[#This Row],[Commercial Bid Price per case for NOI ($)]]+Table1568[[#This Row],[Region 1: Fixed Fee Per Case ($)]])/Table1568[[#This Row],['# of CN Servings per case]]</f>
        <v>#DIV/0!</v>
      </c>
      <c r="T23" s="118" t="e">
        <f>Table1568[[#This Row],[Total Cost Per Serving (N+O)/I]]*Table1568[[#This Row],[Estimated Servings Annual]]</f>
        <v>#DIV/0!</v>
      </c>
      <c r="U23" s="105">
        <f>(Table1568[[#This Row],[Commercial Bid Price per case for NOI ($)]]-Table1568[[#This Row],[Pass-Thru Value per case ($)]])+Table1568[[#This Row],[Region 2: Fixed Fee Per Case ($)]]</f>
        <v>0</v>
      </c>
      <c r="V23" s="19" t="e">
        <f>(Table1568[[#This Row],[Commercial Bid Price per case for NOI ($)]]+Table1568[[#This Row],[Region 2: Fixed Fee Per Case ($)]])/Table1568[[#This Row],['# of CN Servings per case]]</f>
        <v>#DIV/0!</v>
      </c>
      <c r="W23" s="20" t="e">
        <f>Table1568[[#This Row],[Total Cost Per Serving (N+P)/I]]*Table1568[[#This Row],[Estimated Servings Annual]]</f>
        <v>#DIV/0!</v>
      </c>
    </row>
    <row r="24" spans="1:23" ht="30" x14ac:dyDescent="0.25">
      <c r="A24" s="38" t="s">
        <v>60</v>
      </c>
      <c r="B24" s="43" t="s">
        <v>63</v>
      </c>
      <c r="C24" s="7" t="s">
        <v>13</v>
      </c>
      <c r="D24" s="7"/>
      <c r="E24" s="7"/>
      <c r="F24" s="7"/>
      <c r="G24" s="7"/>
      <c r="H24" s="7"/>
      <c r="I24" s="7"/>
      <c r="J24" s="93">
        <v>350000</v>
      </c>
      <c r="K24" s="7"/>
      <c r="L24" s="7"/>
      <c r="M24" s="7"/>
      <c r="N24" s="7"/>
      <c r="O24" s="7"/>
      <c r="P24" s="7"/>
      <c r="Q24" s="110"/>
      <c r="R24" s="105">
        <f>(Table1568[[#This Row],[Commercial Bid Price per case for NOI ($)]]-Table1568[[#This Row],[Pass-Thru Value per case ($)]])+Table1568[[#This Row],[Region 1: Fixed Fee Per Case ($)]]</f>
        <v>0</v>
      </c>
      <c r="S24" s="18" t="e">
        <f>(Table1568[[#This Row],[Commercial Bid Price per case for NOI ($)]]+Table1568[[#This Row],[Region 1: Fixed Fee Per Case ($)]])/Table1568[[#This Row],['# of CN Servings per case]]</f>
        <v>#DIV/0!</v>
      </c>
      <c r="T24" s="118" t="e">
        <f>Table1568[[#This Row],[Total Cost Per Serving (N+O)/I]]*Table1568[[#This Row],[Estimated Servings Annual]]</f>
        <v>#DIV/0!</v>
      </c>
      <c r="U24" s="105">
        <f>(Table1568[[#This Row],[Commercial Bid Price per case for NOI ($)]]-Table1568[[#This Row],[Pass-Thru Value per case ($)]])+Table1568[[#This Row],[Region 2: Fixed Fee Per Case ($)]]</f>
        <v>0</v>
      </c>
      <c r="V24" s="19" t="e">
        <f>(Table1568[[#This Row],[Commercial Bid Price per case for NOI ($)]]+Table1568[[#This Row],[Region 2: Fixed Fee Per Case ($)]])/Table1568[[#This Row],['# of CN Servings per case]]</f>
        <v>#DIV/0!</v>
      </c>
      <c r="W24" s="20" t="e">
        <f>Table1568[[#This Row],[Total Cost Per Serving (N+P)/I]]*Table1568[[#This Row],[Estimated Servings Annual]]</f>
        <v>#DIV/0!</v>
      </c>
    </row>
    <row r="25" spans="1:23" ht="30" x14ac:dyDescent="0.25">
      <c r="A25" s="38" t="s">
        <v>60</v>
      </c>
      <c r="B25" s="43" t="s">
        <v>63</v>
      </c>
      <c r="C25" s="7" t="s">
        <v>13</v>
      </c>
      <c r="D25" s="7"/>
      <c r="E25" s="7"/>
      <c r="F25" s="7"/>
      <c r="G25" s="7"/>
      <c r="H25" s="7"/>
      <c r="I25" s="7"/>
      <c r="J25" s="93">
        <v>350000</v>
      </c>
      <c r="K25" s="7"/>
      <c r="L25" s="7"/>
      <c r="M25" s="7"/>
      <c r="N25" s="7"/>
      <c r="O25" s="7"/>
      <c r="P25" s="7"/>
      <c r="Q25" s="110"/>
      <c r="R25" s="105">
        <f>(Table1568[[#This Row],[Commercial Bid Price per case for NOI ($)]]-Table1568[[#This Row],[Pass-Thru Value per case ($)]])+Table1568[[#This Row],[Region 1: Fixed Fee Per Case ($)]]</f>
        <v>0</v>
      </c>
      <c r="S25" s="18" t="e">
        <f>(Table1568[[#This Row],[Commercial Bid Price per case for NOI ($)]]+Table1568[[#This Row],[Region 1: Fixed Fee Per Case ($)]])/Table1568[[#This Row],['# of CN Servings per case]]</f>
        <v>#DIV/0!</v>
      </c>
      <c r="T25" s="118" t="e">
        <f>Table1568[[#This Row],[Total Cost Per Serving (N+O)/I]]*Table1568[[#This Row],[Estimated Servings Annual]]</f>
        <v>#DIV/0!</v>
      </c>
      <c r="U25" s="105">
        <f>(Table1568[[#This Row],[Commercial Bid Price per case for NOI ($)]]-Table1568[[#This Row],[Pass-Thru Value per case ($)]])+Table1568[[#This Row],[Region 2: Fixed Fee Per Case ($)]]</f>
        <v>0</v>
      </c>
      <c r="V25" s="19" t="e">
        <f>(Table1568[[#This Row],[Commercial Bid Price per case for NOI ($)]]+Table1568[[#This Row],[Region 2: Fixed Fee Per Case ($)]])/Table1568[[#This Row],['# of CN Servings per case]]</f>
        <v>#DIV/0!</v>
      </c>
      <c r="W25" s="20" t="e">
        <f>Table1568[[#This Row],[Total Cost Per Serving (N+P)/I]]*Table1568[[#This Row],[Estimated Servings Annual]]</f>
        <v>#DIV/0!</v>
      </c>
    </row>
    <row r="26" spans="1:23" ht="30.75" thickBot="1" x14ac:dyDescent="0.3">
      <c r="A26" s="38" t="s">
        <v>60</v>
      </c>
      <c r="B26" s="44" t="s">
        <v>63</v>
      </c>
      <c r="C26" s="9" t="s">
        <v>13</v>
      </c>
      <c r="D26" s="9"/>
      <c r="E26" s="9"/>
      <c r="F26" s="9"/>
      <c r="G26" s="9"/>
      <c r="H26" s="9"/>
      <c r="I26" s="9"/>
      <c r="J26" s="94">
        <v>350000</v>
      </c>
      <c r="K26" s="9"/>
      <c r="L26" s="9"/>
      <c r="M26" s="9"/>
      <c r="N26" s="9"/>
      <c r="O26" s="9"/>
      <c r="P26" s="9"/>
      <c r="Q26" s="111"/>
      <c r="R26" s="106">
        <f>(Table1568[[#This Row],[Commercial Bid Price per case for NOI ($)]]-Table1568[[#This Row],[Pass-Thru Value per case ($)]])+Table1568[[#This Row],[Region 1: Fixed Fee Per Case ($)]]</f>
        <v>0</v>
      </c>
      <c r="S26" s="21" t="e">
        <f>(Table1568[[#This Row],[Commercial Bid Price per case for NOI ($)]]+Table1568[[#This Row],[Region 1: Fixed Fee Per Case ($)]])/Table1568[[#This Row],['# of CN Servings per case]]</f>
        <v>#DIV/0!</v>
      </c>
      <c r="T26" s="120" t="e">
        <f>Table1568[[#This Row],[Total Cost Per Serving (N+O)/I]]*Table1568[[#This Row],[Estimated Servings Annual]]</f>
        <v>#DIV/0!</v>
      </c>
      <c r="U26" s="106">
        <f>(Table1568[[#This Row],[Commercial Bid Price per case for NOI ($)]]-Table1568[[#This Row],[Pass-Thru Value per case ($)]])+Table1568[[#This Row],[Region 2: Fixed Fee Per Case ($)]]</f>
        <v>0</v>
      </c>
      <c r="V26" s="22" t="e">
        <f>(Table1568[[#This Row],[Commercial Bid Price per case for NOI ($)]]+Table1568[[#This Row],[Region 2: Fixed Fee Per Case ($)]])/Table1568[[#This Row],['# of CN Servings per case]]</f>
        <v>#DIV/0!</v>
      </c>
      <c r="W26" s="23" t="e">
        <f>Table1568[[#This Row],[Total Cost Per Serving (N+P)/I]]*Table1568[[#This Row],[Estimated Servings Annual]]</f>
        <v>#DIV/0!</v>
      </c>
    </row>
    <row r="27" spans="1:23" x14ac:dyDescent="0.25">
      <c r="A27" s="38" t="s">
        <v>60</v>
      </c>
      <c r="B27" s="42" t="s">
        <v>64</v>
      </c>
      <c r="C27" s="3" t="s">
        <v>26</v>
      </c>
      <c r="D27" s="4"/>
      <c r="E27" s="4"/>
      <c r="F27" s="4"/>
      <c r="G27" s="4"/>
      <c r="H27" s="4"/>
      <c r="I27" s="4"/>
      <c r="J27" s="92">
        <v>650000</v>
      </c>
      <c r="K27" s="4"/>
      <c r="L27" s="4"/>
      <c r="M27" s="4"/>
      <c r="N27" s="4"/>
      <c r="O27" s="4"/>
      <c r="P27" s="4"/>
      <c r="Q27" s="109"/>
      <c r="R27" s="104">
        <f>(Table1568[[#This Row],[Commercial Bid Price per case for NOI ($)]]-Table1568[[#This Row],[Pass-Thru Value per case ($)]])+Table1568[[#This Row],[Region 1: Fixed Fee Per Case ($)]]</f>
        <v>0</v>
      </c>
      <c r="S27" s="15" t="e">
        <f>(Table1568[[#This Row],[Commercial Bid Price per case for NOI ($)]]+Table1568[[#This Row],[Region 1: Fixed Fee Per Case ($)]])/Table1568[[#This Row],['# of CN Servings per case]]</f>
        <v>#DIV/0!</v>
      </c>
      <c r="T27" s="115" t="e">
        <f>Table1568[[#This Row],[Total Cost Per Serving (N+O)/I]]*Table1568[[#This Row],[Estimated Servings Annual]]</f>
        <v>#DIV/0!</v>
      </c>
      <c r="U27" s="104">
        <f>(Table1568[[#This Row],[Commercial Bid Price per case for NOI ($)]]-Table1568[[#This Row],[Pass-Thru Value per case ($)]])+Table1568[[#This Row],[Region 2: Fixed Fee Per Case ($)]]</f>
        <v>0</v>
      </c>
      <c r="V27" s="16" t="e">
        <f>(Table1568[[#This Row],[Commercial Bid Price per case for NOI ($)]]+Table1568[[#This Row],[Region 2: Fixed Fee Per Case ($)]])/Table1568[[#This Row],['# of CN Servings per case]]</f>
        <v>#DIV/0!</v>
      </c>
      <c r="W27" s="17" t="e">
        <f>Table1568[[#This Row],[Total Cost Per Serving (N+P)/I]]*Table1568[[#This Row],[Estimated Servings Annual]]</f>
        <v>#DIV/0!</v>
      </c>
    </row>
    <row r="28" spans="1:23" x14ac:dyDescent="0.25">
      <c r="A28" s="38" t="s">
        <v>60</v>
      </c>
      <c r="B28" s="43" t="s">
        <v>64</v>
      </c>
      <c r="C28" s="6" t="s">
        <v>26</v>
      </c>
      <c r="D28" s="7"/>
      <c r="E28" s="7"/>
      <c r="F28" s="7"/>
      <c r="G28" s="7"/>
      <c r="H28" s="7"/>
      <c r="I28" s="7"/>
      <c r="J28" s="93">
        <v>650000</v>
      </c>
      <c r="K28" s="7"/>
      <c r="L28" s="7"/>
      <c r="M28" s="7"/>
      <c r="N28" s="7"/>
      <c r="O28" s="7"/>
      <c r="P28" s="7"/>
      <c r="Q28" s="110"/>
      <c r="R28" s="105">
        <f>(Table1568[[#This Row],[Commercial Bid Price per case for NOI ($)]]-Table1568[[#This Row],[Pass-Thru Value per case ($)]])+Table1568[[#This Row],[Region 1: Fixed Fee Per Case ($)]]</f>
        <v>0</v>
      </c>
      <c r="S28" s="18" t="e">
        <f>(Table1568[[#This Row],[Commercial Bid Price per case for NOI ($)]]+Table1568[[#This Row],[Region 1: Fixed Fee Per Case ($)]])/Table1568[[#This Row],['# of CN Servings per case]]</f>
        <v>#DIV/0!</v>
      </c>
      <c r="T28" s="118" t="e">
        <f>Table1568[[#This Row],[Total Cost Per Serving (N+O)/I]]*Table1568[[#This Row],[Estimated Servings Annual]]</f>
        <v>#DIV/0!</v>
      </c>
      <c r="U28" s="105">
        <f>(Table1568[[#This Row],[Commercial Bid Price per case for NOI ($)]]-Table1568[[#This Row],[Pass-Thru Value per case ($)]])+Table1568[[#This Row],[Region 2: Fixed Fee Per Case ($)]]</f>
        <v>0</v>
      </c>
      <c r="V28" s="19" t="e">
        <f>(Table1568[[#This Row],[Commercial Bid Price per case for NOI ($)]]+Table1568[[#This Row],[Region 2: Fixed Fee Per Case ($)]])/Table1568[[#This Row],['# of CN Servings per case]]</f>
        <v>#DIV/0!</v>
      </c>
      <c r="W28" s="20" t="e">
        <f>Table1568[[#This Row],[Total Cost Per Serving (N+P)/I]]*Table1568[[#This Row],[Estimated Servings Annual]]</f>
        <v>#DIV/0!</v>
      </c>
    </row>
    <row r="29" spans="1:23" x14ac:dyDescent="0.25">
      <c r="A29" s="38" t="s">
        <v>60</v>
      </c>
      <c r="B29" s="43" t="s">
        <v>64</v>
      </c>
      <c r="C29" s="6" t="s">
        <v>66</v>
      </c>
      <c r="D29" s="7"/>
      <c r="E29" s="7"/>
      <c r="F29" s="7"/>
      <c r="G29" s="7"/>
      <c r="H29" s="7"/>
      <c r="I29" s="7"/>
      <c r="J29" s="93">
        <v>650000</v>
      </c>
      <c r="K29" s="7"/>
      <c r="L29" s="7"/>
      <c r="M29" s="7"/>
      <c r="N29" s="7"/>
      <c r="O29" s="7"/>
      <c r="P29" s="7"/>
      <c r="Q29" s="110"/>
      <c r="R29" s="105">
        <f>(Table1568[[#This Row],[Commercial Bid Price per case for NOI ($)]]-Table1568[[#This Row],[Pass-Thru Value per case ($)]])+Table1568[[#This Row],[Region 1: Fixed Fee Per Case ($)]]</f>
        <v>0</v>
      </c>
      <c r="S29" s="18" t="e">
        <f>(Table1568[[#This Row],[Commercial Bid Price per case for NOI ($)]]+Table1568[[#This Row],[Region 1: Fixed Fee Per Case ($)]])/Table1568[[#This Row],['# of CN Servings per case]]</f>
        <v>#DIV/0!</v>
      </c>
      <c r="T29" s="118" t="e">
        <f>Table1568[[#This Row],[Total Cost Per Serving (N+O)/I]]*Table1568[[#This Row],[Estimated Servings Annual]]</f>
        <v>#DIV/0!</v>
      </c>
      <c r="U29" s="105">
        <f>(Table1568[[#This Row],[Commercial Bid Price per case for NOI ($)]]-Table1568[[#This Row],[Pass-Thru Value per case ($)]])+Table1568[[#This Row],[Region 2: Fixed Fee Per Case ($)]]</f>
        <v>0</v>
      </c>
      <c r="V29" s="19" t="e">
        <f>(Table1568[[#This Row],[Commercial Bid Price per case for NOI ($)]]+Table1568[[#This Row],[Region 2: Fixed Fee Per Case ($)]])/Table1568[[#This Row],['# of CN Servings per case]]</f>
        <v>#DIV/0!</v>
      </c>
      <c r="W29" s="20" t="e">
        <f>Table1568[[#This Row],[Total Cost Per Serving (N+P)/I]]*Table1568[[#This Row],[Estimated Servings Annual]]</f>
        <v>#DIV/0!</v>
      </c>
    </row>
    <row r="30" spans="1:23" x14ac:dyDescent="0.25">
      <c r="A30" s="38" t="s">
        <v>60</v>
      </c>
      <c r="B30" s="43" t="s">
        <v>64</v>
      </c>
      <c r="C30" s="6" t="s">
        <v>66</v>
      </c>
      <c r="D30" s="7"/>
      <c r="E30" s="7"/>
      <c r="F30" s="7"/>
      <c r="G30" s="7"/>
      <c r="H30" s="7"/>
      <c r="I30" s="7"/>
      <c r="J30" s="93">
        <v>650000</v>
      </c>
      <c r="K30" s="7"/>
      <c r="L30" s="7"/>
      <c r="M30" s="7"/>
      <c r="N30" s="7"/>
      <c r="O30" s="7"/>
      <c r="P30" s="7"/>
      <c r="Q30" s="110"/>
      <c r="R30" s="105">
        <f>(Table1568[[#This Row],[Commercial Bid Price per case for NOI ($)]]-Table1568[[#This Row],[Pass-Thru Value per case ($)]])+Table1568[[#This Row],[Region 1: Fixed Fee Per Case ($)]]</f>
        <v>0</v>
      </c>
      <c r="S30" s="18" t="e">
        <f>(Table1568[[#This Row],[Commercial Bid Price per case for NOI ($)]]+Table1568[[#This Row],[Region 1: Fixed Fee Per Case ($)]])/Table1568[[#This Row],['# of CN Servings per case]]</f>
        <v>#DIV/0!</v>
      </c>
      <c r="T30" s="118" t="e">
        <f>Table1568[[#This Row],[Total Cost Per Serving (N+O)/I]]*Table1568[[#This Row],[Estimated Servings Annual]]</f>
        <v>#DIV/0!</v>
      </c>
      <c r="U30" s="105">
        <f>(Table1568[[#This Row],[Commercial Bid Price per case for NOI ($)]]-Table1568[[#This Row],[Pass-Thru Value per case ($)]])+Table1568[[#This Row],[Region 2: Fixed Fee Per Case ($)]]</f>
        <v>0</v>
      </c>
      <c r="V30" s="19" t="e">
        <f>(Table1568[[#This Row],[Commercial Bid Price per case for NOI ($)]]+Table1568[[#This Row],[Region 2: Fixed Fee Per Case ($)]])/Table1568[[#This Row],['# of CN Servings per case]]</f>
        <v>#DIV/0!</v>
      </c>
      <c r="W30" s="20" t="e">
        <f>Table1568[[#This Row],[Total Cost Per Serving (N+P)/I]]*Table1568[[#This Row],[Estimated Servings Annual]]</f>
        <v>#DIV/0!</v>
      </c>
    </row>
    <row r="31" spans="1:23" x14ac:dyDescent="0.25">
      <c r="A31" s="38" t="s">
        <v>60</v>
      </c>
      <c r="B31" s="43" t="s">
        <v>64</v>
      </c>
      <c r="C31" s="7" t="s">
        <v>13</v>
      </c>
      <c r="D31" s="7"/>
      <c r="E31" s="7"/>
      <c r="F31" s="7"/>
      <c r="G31" s="7"/>
      <c r="H31" s="7"/>
      <c r="I31" s="7"/>
      <c r="J31" s="93">
        <v>650000</v>
      </c>
      <c r="K31" s="7"/>
      <c r="L31" s="7"/>
      <c r="M31" s="7"/>
      <c r="N31" s="7"/>
      <c r="O31" s="7"/>
      <c r="P31" s="7"/>
      <c r="Q31" s="110"/>
      <c r="R31" s="105">
        <f>(Table1568[[#This Row],[Commercial Bid Price per case for NOI ($)]]-Table1568[[#This Row],[Pass-Thru Value per case ($)]])+Table1568[[#This Row],[Region 1: Fixed Fee Per Case ($)]]</f>
        <v>0</v>
      </c>
      <c r="S31" s="18" t="e">
        <f>(Table1568[[#This Row],[Commercial Bid Price per case for NOI ($)]]+Table1568[[#This Row],[Region 1: Fixed Fee Per Case ($)]])/Table1568[[#This Row],['# of CN Servings per case]]</f>
        <v>#DIV/0!</v>
      </c>
      <c r="T31" s="118" t="e">
        <f>Table1568[[#This Row],[Total Cost Per Serving (N+O)/I]]*Table1568[[#This Row],[Estimated Servings Annual]]</f>
        <v>#DIV/0!</v>
      </c>
      <c r="U31" s="105">
        <f>(Table1568[[#This Row],[Commercial Bid Price per case for NOI ($)]]-Table1568[[#This Row],[Pass-Thru Value per case ($)]])+Table1568[[#This Row],[Region 2: Fixed Fee Per Case ($)]]</f>
        <v>0</v>
      </c>
      <c r="V31" s="19" t="e">
        <f>(Table1568[[#This Row],[Commercial Bid Price per case for NOI ($)]]+Table1568[[#This Row],[Region 2: Fixed Fee Per Case ($)]])/Table1568[[#This Row],['# of CN Servings per case]]</f>
        <v>#DIV/0!</v>
      </c>
      <c r="W31" s="20" t="e">
        <f>Table1568[[#This Row],[Total Cost Per Serving (N+P)/I]]*Table1568[[#This Row],[Estimated Servings Annual]]</f>
        <v>#DIV/0!</v>
      </c>
    </row>
    <row r="32" spans="1:23" x14ac:dyDescent="0.25">
      <c r="A32" s="38" t="s">
        <v>60</v>
      </c>
      <c r="B32" s="43" t="s">
        <v>64</v>
      </c>
      <c r="C32" s="7" t="s">
        <v>13</v>
      </c>
      <c r="D32" s="7"/>
      <c r="E32" s="7"/>
      <c r="F32" s="7"/>
      <c r="G32" s="7"/>
      <c r="H32" s="7"/>
      <c r="I32" s="7"/>
      <c r="J32" s="93">
        <v>650000</v>
      </c>
      <c r="K32" s="7"/>
      <c r="L32" s="7"/>
      <c r="M32" s="7"/>
      <c r="N32" s="7"/>
      <c r="O32" s="7"/>
      <c r="P32" s="7"/>
      <c r="Q32" s="110"/>
      <c r="R32" s="105">
        <f>(Table1568[[#This Row],[Commercial Bid Price per case for NOI ($)]]-Table1568[[#This Row],[Pass-Thru Value per case ($)]])+Table1568[[#This Row],[Region 1: Fixed Fee Per Case ($)]]</f>
        <v>0</v>
      </c>
      <c r="S32" s="18" t="e">
        <f>(Table1568[[#This Row],[Commercial Bid Price per case for NOI ($)]]+Table1568[[#This Row],[Region 1: Fixed Fee Per Case ($)]])/Table1568[[#This Row],['# of CN Servings per case]]</f>
        <v>#DIV/0!</v>
      </c>
      <c r="T32" s="118" t="e">
        <f>Table1568[[#This Row],[Total Cost Per Serving (N+O)/I]]*Table1568[[#This Row],[Estimated Servings Annual]]</f>
        <v>#DIV/0!</v>
      </c>
      <c r="U32" s="105">
        <f>(Table1568[[#This Row],[Commercial Bid Price per case for NOI ($)]]-Table1568[[#This Row],[Pass-Thru Value per case ($)]])+Table1568[[#This Row],[Region 2: Fixed Fee Per Case ($)]]</f>
        <v>0</v>
      </c>
      <c r="V32" s="19" t="e">
        <f>(Table1568[[#This Row],[Commercial Bid Price per case for NOI ($)]]+Table1568[[#This Row],[Region 2: Fixed Fee Per Case ($)]])/Table1568[[#This Row],['# of CN Servings per case]]</f>
        <v>#DIV/0!</v>
      </c>
      <c r="W32" s="20" t="e">
        <f>Table1568[[#This Row],[Total Cost Per Serving (N+P)/I]]*Table1568[[#This Row],[Estimated Servings Annual]]</f>
        <v>#DIV/0!</v>
      </c>
    </row>
    <row r="33" spans="1:23" x14ac:dyDescent="0.25">
      <c r="A33" s="38" t="s">
        <v>60</v>
      </c>
      <c r="B33" s="43" t="s">
        <v>64</v>
      </c>
      <c r="C33" s="7" t="s">
        <v>13</v>
      </c>
      <c r="D33" s="7"/>
      <c r="E33" s="7"/>
      <c r="F33" s="7"/>
      <c r="G33" s="7"/>
      <c r="H33" s="7"/>
      <c r="I33" s="7"/>
      <c r="J33" s="93">
        <v>650000</v>
      </c>
      <c r="K33" s="7"/>
      <c r="L33" s="7"/>
      <c r="M33" s="7"/>
      <c r="N33" s="7"/>
      <c r="O33" s="7"/>
      <c r="P33" s="7"/>
      <c r="Q33" s="110"/>
      <c r="R33" s="105">
        <f>(Table1568[[#This Row],[Commercial Bid Price per case for NOI ($)]]-Table1568[[#This Row],[Pass-Thru Value per case ($)]])+Table1568[[#This Row],[Region 1: Fixed Fee Per Case ($)]]</f>
        <v>0</v>
      </c>
      <c r="S33" s="18" t="e">
        <f>(Table1568[[#This Row],[Commercial Bid Price per case for NOI ($)]]+Table1568[[#This Row],[Region 1: Fixed Fee Per Case ($)]])/Table1568[[#This Row],['# of CN Servings per case]]</f>
        <v>#DIV/0!</v>
      </c>
      <c r="T33" s="118" t="e">
        <f>Table1568[[#This Row],[Total Cost Per Serving (N+O)/I]]*Table1568[[#This Row],[Estimated Servings Annual]]</f>
        <v>#DIV/0!</v>
      </c>
      <c r="U33" s="105">
        <f>(Table1568[[#This Row],[Commercial Bid Price per case for NOI ($)]]-Table1568[[#This Row],[Pass-Thru Value per case ($)]])+Table1568[[#This Row],[Region 2: Fixed Fee Per Case ($)]]</f>
        <v>0</v>
      </c>
      <c r="V33" s="19" t="e">
        <f>(Table1568[[#This Row],[Commercial Bid Price per case for NOI ($)]]+Table1568[[#This Row],[Region 2: Fixed Fee Per Case ($)]])/Table1568[[#This Row],['# of CN Servings per case]]</f>
        <v>#DIV/0!</v>
      </c>
      <c r="W33" s="20" t="e">
        <f>Table1568[[#This Row],[Total Cost Per Serving (N+P)/I]]*Table1568[[#This Row],[Estimated Servings Annual]]</f>
        <v>#DIV/0!</v>
      </c>
    </row>
    <row r="34" spans="1:23" ht="15.75" thickBot="1" x14ac:dyDescent="0.3">
      <c r="A34" s="38" t="s">
        <v>60</v>
      </c>
      <c r="B34" s="44" t="s">
        <v>64</v>
      </c>
      <c r="C34" s="9" t="s">
        <v>13</v>
      </c>
      <c r="D34" s="9"/>
      <c r="E34" s="9"/>
      <c r="F34" s="9"/>
      <c r="G34" s="9"/>
      <c r="H34" s="9"/>
      <c r="I34" s="9"/>
      <c r="J34" s="94">
        <v>650000</v>
      </c>
      <c r="K34" s="9"/>
      <c r="L34" s="9"/>
      <c r="M34" s="9"/>
      <c r="N34" s="9"/>
      <c r="O34" s="9"/>
      <c r="P34" s="9"/>
      <c r="Q34" s="111"/>
      <c r="R34" s="106">
        <f>(Table1568[[#This Row],[Commercial Bid Price per case for NOI ($)]]-Table1568[[#This Row],[Pass-Thru Value per case ($)]])+Table1568[[#This Row],[Region 1: Fixed Fee Per Case ($)]]</f>
        <v>0</v>
      </c>
      <c r="S34" s="21" t="e">
        <f>(Table1568[[#This Row],[Commercial Bid Price per case for NOI ($)]]+Table1568[[#This Row],[Region 1: Fixed Fee Per Case ($)]])/Table1568[[#This Row],['# of CN Servings per case]]</f>
        <v>#DIV/0!</v>
      </c>
      <c r="T34" s="120" t="e">
        <f>Table1568[[#This Row],[Total Cost Per Serving (N+O)/I]]*Table1568[[#This Row],[Estimated Servings Annual]]</f>
        <v>#DIV/0!</v>
      </c>
      <c r="U34" s="106">
        <f>(Table1568[[#This Row],[Commercial Bid Price per case for NOI ($)]]-Table1568[[#This Row],[Pass-Thru Value per case ($)]])+Table1568[[#This Row],[Region 2: Fixed Fee Per Case ($)]]</f>
        <v>0</v>
      </c>
      <c r="V34" s="22" t="e">
        <f>(Table1568[[#This Row],[Commercial Bid Price per case for NOI ($)]]+Table1568[[#This Row],[Region 2: Fixed Fee Per Case ($)]])/Table1568[[#This Row],['# of CN Servings per case]]</f>
        <v>#DIV/0!</v>
      </c>
      <c r="W34" s="23" t="e">
        <f>Table1568[[#This Row],[Total Cost Per Serving (N+P)/I]]*Table1568[[#This Row],[Estimated Servings Annual]]</f>
        <v>#DIV/0!</v>
      </c>
    </row>
    <row r="35" spans="1:23" ht="30" x14ac:dyDescent="0.25">
      <c r="A35" s="39" t="s">
        <v>60</v>
      </c>
      <c r="B35" s="42" t="s">
        <v>65</v>
      </c>
      <c r="C35" s="3" t="s">
        <v>24</v>
      </c>
      <c r="D35" s="4"/>
      <c r="E35" s="4"/>
      <c r="F35" s="4"/>
      <c r="G35" s="4"/>
      <c r="H35" s="4"/>
      <c r="I35" s="4"/>
      <c r="J35" s="92">
        <v>1500000</v>
      </c>
      <c r="K35" s="4"/>
      <c r="L35" s="4"/>
      <c r="M35" s="4"/>
      <c r="N35" s="4"/>
      <c r="O35" s="4"/>
      <c r="P35" s="4"/>
      <c r="Q35" s="109"/>
      <c r="R35" s="104">
        <f>(Table1568[[#This Row],[Commercial Bid Price per case for NOI ($)]]-Table1568[[#This Row],[Pass-Thru Value per case ($)]])+Table1568[[#This Row],[Region 1: Fixed Fee Per Case ($)]]</f>
        <v>0</v>
      </c>
      <c r="S35" s="15" t="e">
        <f>(Table1568[[#This Row],[Commercial Bid Price per case for NOI ($)]]+Table1568[[#This Row],[Region 1: Fixed Fee Per Case ($)]])/Table1568[[#This Row],['# of CN Servings per case]]</f>
        <v>#DIV/0!</v>
      </c>
      <c r="T35" s="115" t="e">
        <f>Table1568[[#This Row],[Total Cost Per Serving (N+O)/I]]*Table1568[[#This Row],[Estimated Servings Annual]]</f>
        <v>#DIV/0!</v>
      </c>
      <c r="U35" s="104">
        <f>(Table1568[[#This Row],[Commercial Bid Price per case for NOI ($)]]-Table1568[[#This Row],[Pass-Thru Value per case ($)]])+Table1568[[#This Row],[Region 2: Fixed Fee Per Case ($)]]</f>
        <v>0</v>
      </c>
      <c r="V35" s="31" t="e">
        <f>(Table1568[[#This Row],[Commercial Bid Price per case for NOI ($)]]+Table1568[[#This Row],[Region 2: Fixed Fee Per Case ($)]])/Table1568[[#This Row],['# of CN Servings per case]]</f>
        <v>#DIV/0!</v>
      </c>
      <c r="W35" s="17" t="e">
        <f>Table1568[[#This Row],[Total Cost Per Serving (N+P)/I]]*Table1568[[#This Row],[Estimated Servings Annual]]</f>
        <v>#DIV/0!</v>
      </c>
    </row>
    <row r="36" spans="1:23" ht="30" x14ac:dyDescent="0.25">
      <c r="A36" s="39" t="s">
        <v>60</v>
      </c>
      <c r="B36" s="43" t="s">
        <v>65</v>
      </c>
      <c r="C36" s="6" t="s">
        <v>24</v>
      </c>
      <c r="D36" s="7"/>
      <c r="E36" s="7"/>
      <c r="F36" s="7"/>
      <c r="G36" s="7"/>
      <c r="H36" s="7"/>
      <c r="I36" s="7"/>
      <c r="J36" s="93">
        <v>1500000</v>
      </c>
      <c r="K36" s="7"/>
      <c r="L36" s="7"/>
      <c r="M36" s="7"/>
      <c r="N36" s="7"/>
      <c r="O36" s="7"/>
      <c r="P36" s="7"/>
      <c r="Q36" s="110"/>
      <c r="R36" s="105">
        <f>(Table1568[[#This Row],[Commercial Bid Price per case for NOI ($)]]-Table1568[[#This Row],[Pass-Thru Value per case ($)]])+Table1568[[#This Row],[Region 1: Fixed Fee Per Case ($)]]</f>
        <v>0</v>
      </c>
      <c r="S36" s="18" t="e">
        <f>(Table1568[[#This Row],[Commercial Bid Price per case for NOI ($)]]+Table1568[[#This Row],[Region 1: Fixed Fee Per Case ($)]])/Table1568[[#This Row],['# of CN Servings per case]]</f>
        <v>#DIV/0!</v>
      </c>
      <c r="T36" s="118" t="e">
        <f>Table1568[[#This Row],[Total Cost Per Serving (N+O)/I]]*Table1568[[#This Row],[Estimated Servings Annual]]</f>
        <v>#DIV/0!</v>
      </c>
      <c r="U36" s="105">
        <f>(Table1568[[#This Row],[Commercial Bid Price per case for NOI ($)]]-Table1568[[#This Row],[Pass-Thru Value per case ($)]])+Table1568[[#This Row],[Region 2: Fixed Fee Per Case ($)]]</f>
        <v>0</v>
      </c>
      <c r="V36" s="24" t="e">
        <f>(Table1568[[#This Row],[Commercial Bid Price per case for NOI ($)]]+Table1568[[#This Row],[Region 2: Fixed Fee Per Case ($)]])/Table1568[[#This Row],['# of CN Servings per case]]</f>
        <v>#DIV/0!</v>
      </c>
      <c r="W36" s="20" t="e">
        <f>Table1568[[#This Row],[Total Cost Per Serving (N+P)/I]]*Table1568[[#This Row],[Estimated Servings Annual]]</f>
        <v>#DIV/0!</v>
      </c>
    </row>
    <row r="37" spans="1:23" ht="30" x14ac:dyDescent="0.25">
      <c r="A37" s="39" t="s">
        <v>60</v>
      </c>
      <c r="B37" s="43" t="s">
        <v>65</v>
      </c>
      <c r="C37" s="6" t="s">
        <v>25</v>
      </c>
      <c r="D37" s="7"/>
      <c r="E37" s="7"/>
      <c r="F37" s="7"/>
      <c r="G37" s="7"/>
      <c r="H37" s="7"/>
      <c r="I37" s="7"/>
      <c r="J37" s="93">
        <v>1500000</v>
      </c>
      <c r="K37" s="7"/>
      <c r="L37" s="7"/>
      <c r="M37" s="7"/>
      <c r="N37" s="7"/>
      <c r="O37" s="7"/>
      <c r="P37" s="7"/>
      <c r="Q37" s="110"/>
      <c r="R37" s="105">
        <f>(Table1568[[#This Row],[Commercial Bid Price per case for NOI ($)]]-Table1568[[#This Row],[Pass-Thru Value per case ($)]])+Table1568[[#This Row],[Region 1: Fixed Fee Per Case ($)]]</f>
        <v>0</v>
      </c>
      <c r="S37" s="18" t="e">
        <f>(Table1568[[#This Row],[Commercial Bid Price per case for NOI ($)]]+Table1568[[#This Row],[Region 1: Fixed Fee Per Case ($)]])/Table1568[[#This Row],['# of CN Servings per case]]</f>
        <v>#DIV/0!</v>
      </c>
      <c r="T37" s="118" t="e">
        <f>Table1568[[#This Row],[Total Cost Per Serving (N+O)/I]]*Table1568[[#This Row],[Estimated Servings Annual]]</f>
        <v>#DIV/0!</v>
      </c>
      <c r="U37" s="105">
        <f>(Table1568[[#This Row],[Commercial Bid Price per case for NOI ($)]]-Table1568[[#This Row],[Pass-Thru Value per case ($)]])+Table1568[[#This Row],[Region 2: Fixed Fee Per Case ($)]]</f>
        <v>0</v>
      </c>
      <c r="V37" s="24" t="e">
        <f>(Table1568[[#This Row],[Commercial Bid Price per case for NOI ($)]]+Table1568[[#This Row],[Region 2: Fixed Fee Per Case ($)]])/Table1568[[#This Row],['# of CN Servings per case]]</f>
        <v>#DIV/0!</v>
      </c>
      <c r="W37" s="20" t="e">
        <f>Table1568[[#This Row],[Total Cost Per Serving (N+P)/I]]*Table1568[[#This Row],[Estimated Servings Annual]]</f>
        <v>#DIV/0!</v>
      </c>
    </row>
    <row r="38" spans="1:23" ht="30" x14ac:dyDescent="0.25">
      <c r="A38" s="39" t="s">
        <v>60</v>
      </c>
      <c r="B38" s="43" t="s">
        <v>65</v>
      </c>
      <c r="C38" s="6" t="s">
        <v>25</v>
      </c>
      <c r="D38" s="7"/>
      <c r="E38" s="7"/>
      <c r="F38" s="7"/>
      <c r="G38" s="7"/>
      <c r="H38" s="7"/>
      <c r="I38" s="7"/>
      <c r="J38" s="93">
        <v>1500000</v>
      </c>
      <c r="K38" s="7"/>
      <c r="L38" s="7"/>
      <c r="M38" s="7"/>
      <c r="N38" s="7"/>
      <c r="O38" s="7"/>
      <c r="P38" s="7"/>
      <c r="Q38" s="110"/>
      <c r="R38" s="105">
        <f>(Table1568[[#This Row],[Commercial Bid Price per case for NOI ($)]]-Table1568[[#This Row],[Pass-Thru Value per case ($)]])+Table1568[[#This Row],[Region 1: Fixed Fee Per Case ($)]]</f>
        <v>0</v>
      </c>
      <c r="S38" s="18" t="e">
        <f>(Table1568[[#This Row],[Commercial Bid Price per case for NOI ($)]]+Table1568[[#This Row],[Region 1: Fixed Fee Per Case ($)]])/Table1568[[#This Row],['# of CN Servings per case]]</f>
        <v>#DIV/0!</v>
      </c>
      <c r="T38" s="118" t="e">
        <f>Table1568[[#This Row],[Total Cost Per Serving (N+O)/I]]*Table1568[[#This Row],[Estimated Servings Annual]]</f>
        <v>#DIV/0!</v>
      </c>
      <c r="U38" s="105">
        <f>(Table1568[[#This Row],[Commercial Bid Price per case for NOI ($)]]-Table1568[[#This Row],[Pass-Thru Value per case ($)]])+Table1568[[#This Row],[Region 2: Fixed Fee Per Case ($)]]</f>
        <v>0</v>
      </c>
      <c r="V38" s="24" t="e">
        <f>(Table1568[[#This Row],[Commercial Bid Price per case for NOI ($)]]+Table1568[[#This Row],[Region 2: Fixed Fee Per Case ($)]])/Table1568[[#This Row],['# of CN Servings per case]]</f>
        <v>#DIV/0!</v>
      </c>
      <c r="W38" s="20" t="e">
        <f>Table1568[[#This Row],[Total Cost Per Serving (N+P)/I]]*Table1568[[#This Row],[Estimated Servings Annual]]</f>
        <v>#DIV/0!</v>
      </c>
    </row>
    <row r="39" spans="1:23" ht="30" x14ac:dyDescent="0.25">
      <c r="A39" s="39" t="s">
        <v>60</v>
      </c>
      <c r="B39" s="43" t="s">
        <v>65</v>
      </c>
      <c r="C39" s="7" t="s">
        <v>13</v>
      </c>
      <c r="D39" s="7"/>
      <c r="E39" s="7"/>
      <c r="F39" s="7"/>
      <c r="G39" s="7"/>
      <c r="H39" s="7"/>
      <c r="I39" s="7"/>
      <c r="J39" s="93">
        <v>1500000</v>
      </c>
      <c r="K39" s="7"/>
      <c r="L39" s="7"/>
      <c r="M39" s="7"/>
      <c r="N39" s="7"/>
      <c r="O39" s="7"/>
      <c r="P39" s="7"/>
      <c r="Q39" s="110"/>
      <c r="R39" s="105">
        <f>(Table1568[[#This Row],[Commercial Bid Price per case for NOI ($)]]-Table1568[[#This Row],[Pass-Thru Value per case ($)]])+Table1568[[#This Row],[Region 1: Fixed Fee Per Case ($)]]</f>
        <v>0</v>
      </c>
      <c r="S39" s="18" t="e">
        <f>(Table1568[[#This Row],[Commercial Bid Price per case for NOI ($)]]+Table1568[[#This Row],[Region 1: Fixed Fee Per Case ($)]])/Table1568[[#This Row],['# of CN Servings per case]]</f>
        <v>#DIV/0!</v>
      </c>
      <c r="T39" s="118" t="e">
        <f>Table1568[[#This Row],[Total Cost Per Serving (N+O)/I]]*Table1568[[#This Row],[Estimated Servings Annual]]</f>
        <v>#DIV/0!</v>
      </c>
      <c r="U39" s="105">
        <f>(Table1568[[#This Row],[Commercial Bid Price per case for NOI ($)]]-Table1568[[#This Row],[Pass-Thru Value per case ($)]])+Table1568[[#This Row],[Region 2: Fixed Fee Per Case ($)]]</f>
        <v>0</v>
      </c>
      <c r="V39" s="24" t="e">
        <f>(Table1568[[#This Row],[Commercial Bid Price per case for NOI ($)]]+Table1568[[#This Row],[Region 2: Fixed Fee Per Case ($)]])/Table1568[[#This Row],['# of CN Servings per case]]</f>
        <v>#DIV/0!</v>
      </c>
      <c r="W39" s="20" t="e">
        <f>Table1568[[#This Row],[Total Cost Per Serving (N+P)/I]]*Table1568[[#This Row],[Estimated Servings Annual]]</f>
        <v>#DIV/0!</v>
      </c>
    </row>
    <row r="40" spans="1:23" ht="30" x14ac:dyDescent="0.25">
      <c r="A40" s="39" t="s">
        <v>60</v>
      </c>
      <c r="B40" s="43" t="s">
        <v>65</v>
      </c>
      <c r="C40" s="7" t="s">
        <v>13</v>
      </c>
      <c r="D40" s="7"/>
      <c r="E40" s="7"/>
      <c r="F40" s="7"/>
      <c r="G40" s="7"/>
      <c r="H40" s="7"/>
      <c r="I40" s="7"/>
      <c r="J40" s="93">
        <v>1500000</v>
      </c>
      <c r="K40" s="7"/>
      <c r="L40" s="7"/>
      <c r="M40" s="7"/>
      <c r="N40" s="7"/>
      <c r="O40" s="7"/>
      <c r="P40" s="7"/>
      <c r="Q40" s="110"/>
      <c r="R40" s="105">
        <f>(Table1568[[#This Row],[Commercial Bid Price per case for NOI ($)]]-Table1568[[#This Row],[Pass-Thru Value per case ($)]])+Table1568[[#This Row],[Region 1: Fixed Fee Per Case ($)]]</f>
        <v>0</v>
      </c>
      <c r="S40" s="18" t="e">
        <f>(Table1568[[#This Row],[Commercial Bid Price per case for NOI ($)]]+Table1568[[#This Row],[Region 1: Fixed Fee Per Case ($)]])/Table1568[[#This Row],['# of CN Servings per case]]</f>
        <v>#DIV/0!</v>
      </c>
      <c r="T40" s="118" t="e">
        <f>Table1568[[#This Row],[Total Cost Per Serving (N+O)/I]]*Table1568[[#This Row],[Estimated Servings Annual]]</f>
        <v>#DIV/0!</v>
      </c>
      <c r="U40" s="105">
        <f>(Table1568[[#This Row],[Commercial Bid Price per case for NOI ($)]]-Table1568[[#This Row],[Pass-Thru Value per case ($)]])+Table1568[[#This Row],[Region 2: Fixed Fee Per Case ($)]]</f>
        <v>0</v>
      </c>
      <c r="V40" s="24" t="e">
        <f>(Table1568[[#This Row],[Commercial Bid Price per case for NOI ($)]]+Table1568[[#This Row],[Region 2: Fixed Fee Per Case ($)]])/Table1568[[#This Row],['# of CN Servings per case]]</f>
        <v>#DIV/0!</v>
      </c>
      <c r="W40" s="20" t="e">
        <f>Table1568[[#This Row],[Total Cost Per Serving (N+P)/I]]*Table1568[[#This Row],[Estimated Servings Annual]]</f>
        <v>#DIV/0!</v>
      </c>
    </row>
    <row r="41" spans="1:23" ht="30" x14ac:dyDescent="0.25">
      <c r="A41" s="39" t="s">
        <v>60</v>
      </c>
      <c r="B41" s="43" t="s">
        <v>65</v>
      </c>
      <c r="C41" s="7" t="s">
        <v>13</v>
      </c>
      <c r="D41" s="7"/>
      <c r="E41" s="7"/>
      <c r="F41" s="7"/>
      <c r="G41" s="7"/>
      <c r="H41" s="7"/>
      <c r="I41" s="7"/>
      <c r="J41" s="93">
        <v>1500000</v>
      </c>
      <c r="K41" s="7"/>
      <c r="L41" s="7"/>
      <c r="M41" s="7"/>
      <c r="N41" s="7"/>
      <c r="O41" s="7"/>
      <c r="P41" s="7"/>
      <c r="Q41" s="110"/>
      <c r="R41" s="105">
        <f>(Table1568[[#This Row],[Commercial Bid Price per case for NOI ($)]]-Table1568[[#This Row],[Pass-Thru Value per case ($)]])+Table1568[[#This Row],[Region 1: Fixed Fee Per Case ($)]]</f>
        <v>0</v>
      </c>
      <c r="S41" s="18" t="e">
        <f>(Table1568[[#This Row],[Commercial Bid Price per case for NOI ($)]]+Table1568[[#This Row],[Region 1: Fixed Fee Per Case ($)]])/Table1568[[#This Row],['# of CN Servings per case]]</f>
        <v>#DIV/0!</v>
      </c>
      <c r="T41" s="118" t="e">
        <f>Table1568[[#This Row],[Total Cost Per Serving (N+O)/I]]*Table1568[[#This Row],[Estimated Servings Annual]]</f>
        <v>#DIV/0!</v>
      </c>
      <c r="U41" s="105">
        <f>(Table1568[[#This Row],[Commercial Bid Price per case for NOI ($)]]-Table1568[[#This Row],[Pass-Thru Value per case ($)]])+Table1568[[#This Row],[Region 2: Fixed Fee Per Case ($)]]</f>
        <v>0</v>
      </c>
      <c r="V41" s="24" t="e">
        <f>(Table1568[[#This Row],[Commercial Bid Price per case for NOI ($)]]+Table1568[[#This Row],[Region 2: Fixed Fee Per Case ($)]])/Table1568[[#This Row],['# of CN Servings per case]]</f>
        <v>#DIV/0!</v>
      </c>
      <c r="W41" s="20" t="e">
        <f>Table1568[[#This Row],[Total Cost Per Serving (N+P)/I]]*Table1568[[#This Row],[Estimated Servings Annual]]</f>
        <v>#DIV/0!</v>
      </c>
    </row>
    <row r="42" spans="1:23" ht="30.75" thickBot="1" x14ac:dyDescent="0.3">
      <c r="A42" s="41" t="s">
        <v>60</v>
      </c>
      <c r="B42" s="44" t="s">
        <v>65</v>
      </c>
      <c r="C42" s="9" t="s">
        <v>13</v>
      </c>
      <c r="D42" s="9"/>
      <c r="E42" s="9"/>
      <c r="F42" s="9"/>
      <c r="G42" s="9"/>
      <c r="H42" s="9"/>
      <c r="I42" s="9"/>
      <c r="J42" s="94">
        <v>1500000</v>
      </c>
      <c r="K42" s="9"/>
      <c r="L42" s="9"/>
      <c r="M42" s="9"/>
      <c r="N42" s="9"/>
      <c r="O42" s="9"/>
      <c r="P42" s="9"/>
      <c r="Q42" s="111"/>
      <c r="R42" s="106">
        <f>(Table1568[[#This Row],[Commercial Bid Price per case for NOI ($)]]-Table1568[[#This Row],[Pass-Thru Value per case ($)]])+Table1568[[#This Row],[Region 1: Fixed Fee Per Case ($)]]</f>
        <v>0</v>
      </c>
      <c r="S42" s="21" t="e">
        <f>(Table1568[[#This Row],[Commercial Bid Price per case for NOI ($)]]+Table1568[[#This Row],[Region 1: Fixed Fee Per Case ($)]])/Table1568[[#This Row],['# of CN Servings per case]]</f>
        <v>#DIV/0!</v>
      </c>
      <c r="T42" s="120" t="e">
        <f>Table1568[[#This Row],[Total Cost Per Serving (N+O)/I]]*Table1568[[#This Row],[Estimated Servings Annual]]</f>
        <v>#DIV/0!</v>
      </c>
      <c r="U42" s="106">
        <f>(Table1568[[#This Row],[Commercial Bid Price per case for NOI ($)]]-Table1568[[#This Row],[Pass-Thru Value per case ($)]])+Table1568[[#This Row],[Region 2: Fixed Fee Per Case ($)]]</f>
        <v>0</v>
      </c>
      <c r="V42" s="25" t="e">
        <f>(Table1568[[#This Row],[Commercial Bid Price per case for NOI ($)]]+Table1568[[#This Row],[Region 2: Fixed Fee Per Case ($)]])/Table1568[[#This Row],['# of CN Servings per case]]</f>
        <v>#DIV/0!</v>
      </c>
      <c r="W42" s="23" t="e">
        <f>Table1568[[#This Row],[Total Cost Per Serving (N+P)/I]]*Table1568[[#This Row],[Estimated Servings Annual]]</f>
        <v>#DIV/0!</v>
      </c>
    </row>
  </sheetData>
  <mergeCells count="3">
    <mergeCell ref="E1:G1"/>
    <mergeCell ref="R1:T1"/>
    <mergeCell ref="U1:W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V3" sqref="V3"/>
    </sheetView>
  </sheetViews>
  <sheetFormatPr defaultRowHeight="15" x14ac:dyDescent="0.25"/>
  <cols>
    <col min="1" max="1" width="15.140625" bestFit="1" customWidth="1"/>
    <col min="2" max="2" width="26.7109375" bestFit="1" customWidth="1"/>
    <col min="3" max="3" width="22" bestFit="1" customWidth="1"/>
    <col min="4" max="4" width="20.85546875" bestFit="1" customWidth="1"/>
    <col min="5" max="5" width="21" bestFit="1" customWidth="1"/>
    <col min="6" max="6" width="15.5703125" bestFit="1" customWidth="1"/>
    <col min="7" max="7" width="20.42578125" bestFit="1" customWidth="1"/>
    <col min="8" max="8" width="14.28515625" bestFit="1" customWidth="1"/>
    <col min="9" max="9" width="17.5703125" bestFit="1" customWidth="1"/>
    <col min="10" max="10" width="17.5703125" style="90" bestFit="1" customWidth="1"/>
    <col min="11" max="11" width="21.5703125" bestFit="1" customWidth="1"/>
    <col min="12" max="12" width="18.5703125" bestFit="1" customWidth="1"/>
    <col min="13" max="13" width="17.5703125" bestFit="1" customWidth="1"/>
    <col min="14" max="14" width="14.42578125" customWidth="1"/>
    <col min="15" max="15" width="17.5703125" customWidth="1"/>
    <col min="16" max="16" width="17.5703125" bestFit="1" customWidth="1"/>
    <col min="17" max="17" width="15.140625" bestFit="1" customWidth="1"/>
    <col min="18" max="18" width="18.28515625" bestFit="1" customWidth="1"/>
    <col min="19" max="19" width="17.140625" bestFit="1" customWidth="1"/>
    <col min="20" max="20" width="15.5703125" bestFit="1" customWidth="1"/>
    <col min="21" max="21" width="18.28515625" bestFit="1" customWidth="1"/>
    <col min="22" max="22" width="16.85546875" bestFit="1" customWidth="1"/>
    <col min="23" max="23" width="15.5703125" bestFit="1" customWidth="1"/>
  </cols>
  <sheetData>
    <row r="1" spans="1:23" x14ac:dyDescent="0.25">
      <c r="D1" s="1" t="s">
        <v>149</v>
      </c>
      <c r="E1" s="137" t="str">
        <f>Instructions!A2</f>
        <v xml:space="preserve"> </v>
      </c>
      <c r="F1" s="137"/>
      <c r="G1" s="137"/>
      <c r="R1" s="134" t="s">
        <v>167</v>
      </c>
      <c r="S1" s="135"/>
      <c r="T1" s="136"/>
      <c r="U1" s="134" t="s">
        <v>180</v>
      </c>
      <c r="V1" s="135"/>
      <c r="W1" s="136"/>
    </row>
    <row r="2" spans="1:23" s="1" customFormat="1" ht="60.75" thickBot="1" x14ac:dyDescent="0.3">
      <c r="A2" s="1" t="s">
        <v>14</v>
      </c>
      <c r="B2" s="1" t="s">
        <v>3</v>
      </c>
      <c r="C2" s="1" t="s">
        <v>71</v>
      </c>
      <c r="D2" s="1" t="s">
        <v>154</v>
      </c>
      <c r="E2" s="1" t="s">
        <v>0</v>
      </c>
      <c r="F2" s="1" t="s">
        <v>4</v>
      </c>
      <c r="G2" s="1" t="s">
        <v>20</v>
      </c>
      <c r="H2" s="1" t="s">
        <v>1</v>
      </c>
      <c r="I2" s="1" t="s">
        <v>5</v>
      </c>
      <c r="J2" s="91" t="s">
        <v>6</v>
      </c>
      <c r="K2" s="1" t="s">
        <v>2</v>
      </c>
      <c r="L2" s="71" t="s">
        <v>21</v>
      </c>
      <c r="M2" s="1" t="s">
        <v>153</v>
      </c>
      <c r="N2" s="1" t="s">
        <v>22</v>
      </c>
      <c r="O2" s="1" t="s">
        <v>165</v>
      </c>
      <c r="P2" s="1" t="s">
        <v>166</v>
      </c>
      <c r="Q2" s="1" t="s">
        <v>19</v>
      </c>
      <c r="R2" s="101" t="s">
        <v>162</v>
      </c>
      <c r="S2" s="102" t="s">
        <v>163</v>
      </c>
      <c r="T2" s="103" t="s">
        <v>171</v>
      </c>
      <c r="U2" s="101" t="s">
        <v>169</v>
      </c>
      <c r="V2" s="102" t="s">
        <v>170</v>
      </c>
      <c r="W2" s="103" t="s">
        <v>172</v>
      </c>
    </row>
    <row r="3" spans="1:23" x14ac:dyDescent="0.25">
      <c r="A3" s="37" t="s">
        <v>67</v>
      </c>
      <c r="B3" s="2" t="s">
        <v>68</v>
      </c>
      <c r="C3" s="3" t="s">
        <v>26</v>
      </c>
      <c r="D3" s="4"/>
      <c r="E3" s="4"/>
      <c r="F3" s="4"/>
      <c r="G3" s="4"/>
      <c r="H3" s="4"/>
      <c r="I3" s="4"/>
      <c r="J3" s="92">
        <v>50000</v>
      </c>
      <c r="K3" s="4"/>
      <c r="L3" s="4"/>
      <c r="M3" s="4"/>
      <c r="N3" s="4"/>
      <c r="O3" s="4"/>
      <c r="P3" s="4"/>
      <c r="Q3" s="109"/>
      <c r="R3" s="104">
        <f>(Table156811[[#This Row],[Commercial Bid Price per case for NOI ($)]]-Table156811[[#This Row],[Pass-Thru Value per case ($)]])+Table156811[[#This Row],[Region 1: Fixed Fee Per Case ($)]]</f>
        <v>0</v>
      </c>
      <c r="S3" s="15" t="e">
        <f>(Table156811[[#This Row],[Commercial Bid Price per case for NOI ($)]]+Table156811[[#This Row],[Region 1: Fixed Fee Per Case ($)]])/Table156811[[#This Row],['# of CN Servings per case]]</f>
        <v>#DIV/0!</v>
      </c>
      <c r="T3" s="115" t="e">
        <f>Table156811[[#This Row],[Total Cost Per Serving (N+O)/I]]*Table156811[[#This Row],[Estimated Servings Annual]]</f>
        <v>#DIV/0!</v>
      </c>
      <c r="U3" s="104">
        <f>(Table156811[[#This Row],[Commercial Bid Price per case for NOI ($)]]-Table156811[[#This Row],[Pass-Thru Value per case ($)]])+Table156811[[#This Row],[Region 2: Fixed Fee Per Case ($)]]</f>
        <v>0</v>
      </c>
      <c r="V3" s="16" t="e">
        <f>(Table156811[[#This Row],[Commercial Bid Price per case for NOI ($)]]+Table156811[[#This Row],[Region 2: Fixed Fee Per Case ($)]])/Table156811[[#This Row],['# of CN Servings per case]]</f>
        <v>#DIV/0!</v>
      </c>
      <c r="W3" s="17" t="e">
        <f>Table156811[[#This Row],[Total Cost Per Serving (N+P)/I]]*Table156811[[#This Row],[Estimated Servings Annual]]</f>
        <v>#DIV/0!</v>
      </c>
    </row>
    <row r="4" spans="1:23" x14ac:dyDescent="0.25">
      <c r="A4" s="38" t="s">
        <v>67</v>
      </c>
      <c r="B4" s="5" t="s">
        <v>68</v>
      </c>
      <c r="C4" s="6" t="s">
        <v>26</v>
      </c>
      <c r="D4" s="7"/>
      <c r="E4" s="7"/>
      <c r="F4" s="7"/>
      <c r="G4" s="7"/>
      <c r="H4" s="7"/>
      <c r="I4" s="7"/>
      <c r="J4" s="93">
        <v>50000</v>
      </c>
      <c r="K4" s="7"/>
      <c r="L4" s="7"/>
      <c r="M4" s="7"/>
      <c r="N4" s="7"/>
      <c r="O4" s="7"/>
      <c r="P4" s="7"/>
      <c r="Q4" s="110"/>
      <c r="R4" s="105">
        <f>(Table156811[[#This Row],[Commercial Bid Price per case for NOI ($)]]-Table156811[[#This Row],[Pass-Thru Value per case ($)]])+Table156811[[#This Row],[Region 1: Fixed Fee Per Case ($)]]</f>
        <v>0</v>
      </c>
      <c r="S4" s="18" t="e">
        <f>(Table156811[[#This Row],[Commercial Bid Price per case for NOI ($)]]+Table156811[[#This Row],[Region 1: Fixed Fee Per Case ($)]])/Table156811[[#This Row],['# of CN Servings per case]]</f>
        <v>#DIV/0!</v>
      </c>
      <c r="T4" s="118" t="e">
        <f>Table156811[[#This Row],[Total Cost Per Serving (N+O)/I]]*Table156811[[#This Row],[Estimated Servings Annual]]</f>
        <v>#DIV/0!</v>
      </c>
      <c r="U4" s="105">
        <f>(Table156811[[#This Row],[Commercial Bid Price per case for NOI ($)]]-Table156811[[#This Row],[Pass-Thru Value per case ($)]])+Table156811[[#This Row],[Region 2: Fixed Fee Per Case ($)]]</f>
        <v>0</v>
      </c>
      <c r="V4" s="19" t="e">
        <f>(Table156811[[#This Row],[Commercial Bid Price per case for NOI ($)]]+Table156811[[#This Row],[Region 2: Fixed Fee Per Case ($)]])/Table156811[[#This Row],['# of CN Servings per case]]</f>
        <v>#DIV/0!</v>
      </c>
      <c r="W4" s="20" t="e">
        <f>Table156811[[#This Row],[Total Cost Per Serving (N+P)/I]]*Table156811[[#This Row],[Estimated Servings Annual]]</f>
        <v>#DIV/0!</v>
      </c>
    </row>
    <row r="5" spans="1:23" x14ac:dyDescent="0.25">
      <c r="A5" s="38" t="s">
        <v>67</v>
      </c>
      <c r="B5" s="5" t="s">
        <v>68</v>
      </c>
      <c r="C5" s="7" t="s">
        <v>13</v>
      </c>
      <c r="D5" s="7"/>
      <c r="E5" s="7"/>
      <c r="F5" s="7"/>
      <c r="G5" s="7"/>
      <c r="H5" s="7"/>
      <c r="I5" s="7"/>
      <c r="J5" s="93">
        <v>50000</v>
      </c>
      <c r="K5" s="7"/>
      <c r="L5" s="7"/>
      <c r="M5" s="7"/>
      <c r="N5" s="7"/>
      <c r="O5" s="7"/>
      <c r="P5" s="7"/>
      <c r="Q5" s="110"/>
      <c r="R5" s="105">
        <f>(Table156811[[#This Row],[Commercial Bid Price per case for NOI ($)]]-Table156811[[#This Row],[Pass-Thru Value per case ($)]])+Table156811[[#This Row],[Region 1: Fixed Fee Per Case ($)]]</f>
        <v>0</v>
      </c>
      <c r="S5" s="18" t="e">
        <f>(Table156811[[#This Row],[Commercial Bid Price per case for NOI ($)]]+Table156811[[#This Row],[Region 1: Fixed Fee Per Case ($)]])/Table156811[[#This Row],['# of CN Servings per case]]</f>
        <v>#DIV/0!</v>
      </c>
      <c r="T5" s="118" t="e">
        <f>Table156811[[#This Row],[Total Cost Per Serving (N+O)/I]]*Table156811[[#This Row],[Estimated Servings Annual]]</f>
        <v>#DIV/0!</v>
      </c>
      <c r="U5" s="105">
        <f>(Table156811[[#This Row],[Commercial Bid Price per case for NOI ($)]]-Table156811[[#This Row],[Pass-Thru Value per case ($)]])+Table156811[[#This Row],[Region 2: Fixed Fee Per Case ($)]]</f>
        <v>0</v>
      </c>
      <c r="V5" s="19" t="e">
        <f>(Table156811[[#This Row],[Commercial Bid Price per case for NOI ($)]]+Table156811[[#This Row],[Region 2: Fixed Fee Per Case ($)]])/Table156811[[#This Row],['# of CN Servings per case]]</f>
        <v>#DIV/0!</v>
      </c>
      <c r="W5" s="20" t="e">
        <f>Table156811[[#This Row],[Total Cost Per Serving (N+P)/I]]*Table156811[[#This Row],[Estimated Servings Annual]]</f>
        <v>#DIV/0!</v>
      </c>
    </row>
    <row r="6" spans="1:23" x14ac:dyDescent="0.25">
      <c r="A6" s="38" t="s">
        <v>67</v>
      </c>
      <c r="B6" s="5" t="s">
        <v>68</v>
      </c>
      <c r="C6" s="7" t="s">
        <v>13</v>
      </c>
      <c r="D6" s="7"/>
      <c r="E6" s="7"/>
      <c r="F6" s="7"/>
      <c r="G6" s="7"/>
      <c r="H6" s="7"/>
      <c r="I6" s="7"/>
      <c r="J6" s="93">
        <v>50000</v>
      </c>
      <c r="K6" s="7"/>
      <c r="L6" s="7"/>
      <c r="M6" s="7"/>
      <c r="N6" s="7"/>
      <c r="O6" s="7"/>
      <c r="P6" s="7"/>
      <c r="Q6" s="110"/>
      <c r="R6" s="105">
        <f>(Table156811[[#This Row],[Commercial Bid Price per case for NOI ($)]]-Table156811[[#This Row],[Pass-Thru Value per case ($)]])+Table156811[[#This Row],[Region 1: Fixed Fee Per Case ($)]]</f>
        <v>0</v>
      </c>
      <c r="S6" s="18" t="e">
        <f>(Table156811[[#This Row],[Commercial Bid Price per case for NOI ($)]]+Table156811[[#This Row],[Region 1: Fixed Fee Per Case ($)]])/Table156811[[#This Row],['# of CN Servings per case]]</f>
        <v>#DIV/0!</v>
      </c>
      <c r="T6" s="118" t="e">
        <f>Table156811[[#This Row],[Total Cost Per Serving (N+O)/I]]*Table156811[[#This Row],[Estimated Servings Annual]]</f>
        <v>#DIV/0!</v>
      </c>
      <c r="U6" s="105">
        <f>(Table156811[[#This Row],[Commercial Bid Price per case for NOI ($)]]-Table156811[[#This Row],[Pass-Thru Value per case ($)]])+Table156811[[#This Row],[Region 2: Fixed Fee Per Case ($)]]</f>
        <v>0</v>
      </c>
      <c r="V6" s="19" t="e">
        <f>(Table156811[[#This Row],[Commercial Bid Price per case for NOI ($)]]+Table156811[[#This Row],[Region 2: Fixed Fee Per Case ($)]])/Table156811[[#This Row],['# of CN Servings per case]]</f>
        <v>#DIV/0!</v>
      </c>
      <c r="W6" s="20" t="e">
        <f>Table156811[[#This Row],[Total Cost Per Serving (N+P)/I]]*Table156811[[#This Row],[Estimated Servings Annual]]</f>
        <v>#DIV/0!</v>
      </c>
    </row>
    <row r="7" spans="1:23" x14ac:dyDescent="0.25">
      <c r="A7" s="38" t="s">
        <v>67</v>
      </c>
      <c r="B7" s="5" t="s">
        <v>68</v>
      </c>
      <c r="C7" s="7" t="s">
        <v>13</v>
      </c>
      <c r="D7" s="7"/>
      <c r="E7" s="7"/>
      <c r="F7" s="7"/>
      <c r="G7" s="7"/>
      <c r="H7" s="7"/>
      <c r="I7" s="7"/>
      <c r="J7" s="93">
        <v>50000</v>
      </c>
      <c r="K7" s="7"/>
      <c r="L7" s="7"/>
      <c r="M7" s="7"/>
      <c r="N7" s="7"/>
      <c r="O7" s="7"/>
      <c r="P7" s="7"/>
      <c r="Q7" s="110"/>
      <c r="R7" s="105">
        <f>(Table156811[[#This Row],[Commercial Bid Price per case for NOI ($)]]-Table156811[[#This Row],[Pass-Thru Value per case ($)]])+Table156811[[#This Row],[Region 1: Fixed Fee Per Case ($)]]</f>
        <v>0</v>
      </c>
      <c r="S7" s="18" t="e">
        <f>(Table156811[[#This Row],[Commercial Bid Price per case for NOI ($)]]+Table156811[[#This Row],[Region 1: Fixed Fee Per Case ($)]])/Table156811[[#This Row],['# of CN Servings per case]]</f>
        <v>#DIV/0!</v>
      </c>
      <c r="T7" s="118" t="e">
        <f>Table156811[[#This Row],[Total Cost Per Serving (N+O)/I]]*Table156811[[#This Row],[Estimated Servings Annual]]</f>
        <v>#DIV/0!</v>
      </c>
      <c r="U7" s="105">
        <f>(Table156811[[#This Row],[Commercial Bid Price per case for NOI ($)]]-Table156811[[#This Row],[Pass-Thru Value per case ($)]])+Table156811[[#This Row],[Region 2: Fixed Fee Per Case ($)]]</f>
        <v>0</v>
      </c>
      <c r="V7" s="19" t="e">
        <f>(Table156811[[#This Row],[Commercial Bid Price per case for NOI ($)]]+Table156811[[#This Row],[Region 2: Fixed Fee Per Case ($)]])/Table156811[[#This Row],['# of CN Servings per case]]</f>
        <v>#DIV/0!</v>
      </c>
      <c r="W7" s="20" t="e">
        <f>Table156811[[#This Row],[Total Cost Per Serving (N+P)/I]]*Table156811[[#This Row],[Estimated Servings Annual]]</f>
        <v>#DIV/0!</v>
      </c>
    </row>
    <row r="8" spans="1:23" ht="15.75" thickBot="1" x14ac:dyDescent="0.3">
      <c r="A8" s="38" t="s">
        <v>67</v>
      </c>
      <c r="B8" s="8" t="s">
        <v>68</v>
      </c>
      <c r="C8" s="9" t="s">
        <v>13</v>
      </c>
      <c r="D8" s="9"/>
      <c r="E8" s="9"/>
      <c r="F8" s="9"/>
      <c r="G8" s="9"/>
      <c r="H8" s="9"/>
      <c r="I8" s="9"/>
      <c r="J8" s="94">
        <v>50000</v>
      </c>
      <c r="K8" s="9"/>
      <c r="L8" s="9"/>
      <c r="M8" s="9"/>
      <c r="N8" s="9"/>
      <c r="O8" s="9"/>
      <c r="P8" s="9"/>
      <c r="Q8" s="111"/>
      <c r="R8" s="106">
        <f>(Table156811[[#This Row],[Commercial Bid Price per case for NOI ($)]]-Table156811[[#This Row],[Pass-Thru Value per case ($)]])+Table156811[[#This Row],[Region 1: Fixed Fee Per Case ($)]]</f>
        <v>0</v>
      </c>
      <c r="S8" s="21" t="e">
        <f>(Table156811[[#This Row],[Commercial Bid Price per case for NOI ($)]]+Table156811[[#This Row],[Region 1: Fixed Fee Per Case ($)]])/Table156811[[#This Row],['# of CN Servings per case]]</f>
        <v>#DIV/0!</v>
      </c>
      <c r="T8" s="120" t="e">
        <f>Table156811[[#This Row],[Total Cost Per Serving (N+O)/I]]*Table156811[[#This Row],[Estimated Servings Annual]]</f>
        <v>#DIV/0!</v>
      </c>
      <c r="U8" s="106">
        <f>(Table156811[[#This Row],[Commercial Bid Price per case for NOI ($)]]-Table156811[[#This Row],[Pass-Thru Value per case ($)]])+Table156811[[#This Row],[Region 2: Fixed Fee Per Case ($)]]</f>
        <v>0</v>
      </c>
      <c r="V8" s="22" t="e">
        <f>(Table156811[[#This Row],[Commercial Bid Price per case for NOI ($)]]+Table156811[[#This Row],[Region 2: Fixed Fee Per Case ($)]])/Table156811[[#This Row],['# of CN Servings per case]]</f>
        <v>#DIV/0!</v>
      </c>
      <c r="W8" s="23" t="e">
        <f>Table156811[[#This Row],[Total Cost Per Serving (N+P)/I]]*Table156811[[#This Row],[Estimated Servings Annual]]</f>
        <v>#DIV/0!</v>
      </c>
    </row>
    <row r="9" spans="1:23" x14ac:dyDescent="0.25">
      <c r="A9" s="39" t="s">
        <v>67</v>
      </c>
      <c r="B9" s="2" t="s">
        <v>69</v>
      </c>
      <c r="C9" s="3" t="s">
        <v>26</v>
      </c>
      <c r="D9" s="4"/>
      <c r="E9" s="4"/>
      <c r="F9" s="4"/>
      <c r="G9" s="4"/>
      <c r="H9" s="4"/>
      <c r="I9" s="4"/>
      <c r="J9" s="92">
        <v>30000</v>
      </c>
      <c r="K9" s="4"/>
      <c r="L9" s="4"/>
      <c r="M9" s="4"/>
      <c r="N9" s="4"/>
      <c r="O9" s="4"/>
      <c r="P9" s="4"/>
      <c r="Q9" s="109"/>
      <c r="R9" s="104">
        <f>(Table156811[[#This Row],[Commercial Bid Price per case for NOI ($)]]-Table156811[[#This Row],[Pass-Thru Value per case ($)]])+Table156811[[#This Row],[Region 1: Fixed Fee Per Case ($)]]</f>
        <v>0</v>
      </c>
      <c r="S9" s="15" t="e">
        <f>(Table156811[[#This Row],[Commercial Bid Price per case for NOI ($)]]+Table156811[[#This Row],[Region 1: Fixed Fee Per Case ($)]])/Table156811[[#This Row],['# of CN Servings per case]]</f>
        <v>#DIV/0!</v>
      </c>
      <c r="T9" s="115" t="e">
        <f>Table156811[[#This Row],[Total Cost Per Serving (N+O)/I]]*Table156811[[#This Row],[Estimated Servings Annual]]</f>
        <v>#DIV/0!</v>
      </c>
      <c r="U9" s="104">
        <f>(Table156811[[#This Row],[Commercial Bid Price per case for NOI ($)]]-Table156811[[#This Row],[Pass-Thru Value per case ($)]])+Table156811[[#This Row],[Region 2: Fixed Fee Per Case ($)]]</f>
        <v>0</v>
      </c>
      <c r="V9" s="31" t="e">
        <f>(Table156811[[#This Row],[Commercial Bid Price per case for NOI ($)]]+Table156811[[#This Row],[Region 2: Fixed Fee Per Case ($)]])/Table156811[[#This Row],['# of CN Servings per case]]</f>
        <v>#DIV/0!</v>
      </c>
      <c r="W9" s="17" t="e">
        <f>Table156811[[#This Row],[Total Cost Per Serving (N+P)/I]]*Table156811[[#This Row],[Estimated Servings Annual]]</f>
        <v>#DIV/0!</v>
      </c>
    </row>
    <row r="10" spans="1:23" x14ac:dyDescent="0.25">
      <c r="A10" s="39" t="s">
        <v>67</v>
      </c>
      <c r="B10" s="5" t="s">
        <v>69</v>
      </c>
      <c r="C10" s="6" t="s">
        <v>26</v>
      </c>
      <c r="D10" s="7"/>
      <c r="E10" s="7"/>
      <c r="F10" s="7"/>
      <c r="G10" s="7"/>
      <c r="H10" s="7"/>
      <c r="I10" s="7"/>
      <c r="J10" s="93">
        <v>30000</v>
      </c>
      <c r="K10" s="7"/>
      <c r="L10" s="7"/>
      <c r="M10" s="7"/>
      <c r="N10" s="7"/>
      <c r="O10" s="7"/>
      <c r="P10" s="7"/>
      <c r="Q10" s="110"/>
      <c r="R10" s="105">
        <f>(Table156811[[#This Row],[Commercial Bid Price per case for NOI ($)]]-Table156811[[#This Row],[Pass-Thru Value per case ($)]])+Table156811[[#This Row],[Region 1: Fixed Fee Per Case ($)]]</f>
        <v>0</v>
      </c>
      <c r="S10" s="18" t="e">
        <f>(Table156811[[#This Row],[Commercial Bid Price per case for NOI ($)]]+Table156811[[#This Row],[Region 1: Fixed Fee Per Case ($)]])/Table156811[[#This Row],['# of CN Servings per case]]</f>
        <v>#DIV/0!</v>
      </c>
      <c r="T10" s="118" t="e">
        <f>Table156811[[#This Row],[Total Cost Per Serving (N+O)/I]]*Table156811[[#This Row],[Estimated Servings Annual]]</f>
        <v>#DIV/0!</v>
      </c>
      <c r="U10" s="105">
        <f>(Table156811[[#This Row],[Commercial Bid Price per case for NOI ($)]]-Table156811[[#This Row],[Pass-Thru Value per case ($)]])+Table156811[[#This Row],[Region 2: Fixed Fee Per Case ($)]]</f>
        <v>0</v>
      </c>
      <c r="V10" s="24" t="e">
        <f>(Table156811[[#This Row],[Commercial Bid Price per case for NOI ($)]]+Table156811[[#This Row],[Region 2: Fixed Fee Per Case ($)]])/Table156811[[#This Row],['# of CN Servings per case]]</f>
        <v>#DIV/0!</v>
      </c>
      <c r="W10" s="20" t="e">
        <f>Table156811[[#This Row],[Total Cost Per Serving (N+P)/I]]*Table156811[[#This Row],[Estimated Servings Annual]]</f>
        <v>#DIV/0!</v>
      </c>
    </row>
    <row r="11" spans="1:23" x14ac:dyDescent="0.25">
      <c r="A11" s="39" t="s">
        <v>67</v>
      </c>
      <c r="B11" s="5" t="s">
        <v>69</v>
      </c>
      <c r="C11" s="7" t="s">
        <v>13</v>
      </c>
      <c r="D11" s="7"/>
      <c r="E11" s="7"/>
      <c r="F11" s="7"/>
      <c r="G11" s="7"/>
      <c r="H11" s="7"/>
      <c r="I11" s="7"/>
      <c r="J11" s="93">
        <v>30000</v>
      </c>
      <c r="K11" s="7"/>
      <c r="L11" s="7"/>
      <c r="M11" s="7"/>
      <c r="N11" s="7"/>
      <c r="O11" s="7"/>
      <c r="P11" s="7"/>
      <c r="Q11" s="110"/>
      <c r="R11" s="105">
        <f>(Table156811[[#This Row],[Commercial Bid Price per case for NOI ($)]]-Table156811[[#This Row],[Pass-Thru Value per case ($)]])+Table156811[[#This Row],[Region 1: Fixed Fee Per Case ($)]]</f>
        <v>0</v>
      </c>
      <c r="S11" s="18" t="e">
        <f>(Table156811[[#This Row],[Commercial Bid Price per case for NOI ($)]]+Table156811[[#This Row],[Region 1: Fixed Fee Per Case ($)]])/Table156811[[#This Row],['# of CN Servings per case]]</f>
        <v>#DIV/0!</v>
      </c>
      <c r="T11" s="118" t="e">
        <f>Table156811[[#This Row],[Total Cost Per Serving (N+O)/I]]*Table156811[[#This Row],[Estimated Servings Annual]]</f>
        <v>#DIV/0!</v>
      </c>
      <c r="U11" s="105">
        <f>(Table156811[[#This Row],[Commercial Bid Price per case for NOI ($)]]-Table156811[[#This Row],[Pass-Thru Value per case ($)]])+Table156811[[#This Row],[Region 2: Fixed Fee Per Case ($)]]</f>
        <v>0</v>
      </c>
      <c r="V11" s="24" t="e">
        <f>(Table156811[[#This Row],[Commercial Bid Price per case for NOI ($)]]+Table156811[[#This Row],[Region 2: Fixed Fee Per Case ($)]])/Table156811[[#This Row],['# of CN Servings per case]]</f>
        <v>#DIV/0!</v>
      </c>
      <c r="W11" s="20" t="e">
        <f>Table156811[[#This Row],[Total Cost Per Serving (N+P)/I]]*Table156811[[#This Row],[Estimated Servings Annual]]</f>
        <v>#DIV/0!</v>
      </c>
    </row>
    <row r="12" spans="1:23" x14ac:dyDescent="0.25">
      <c r="A12" s="39" t="s">
        <v>67</v>
      </c>
      <c r="B12" s="5" t="s">
        <v>69</v>
      </c>
      <c r="C12" s="7" t="s">
        <v>13</v>
      </c>
      <c r="D12" s="7"/>
      <c r="E12" s="7"/>
      <c r="F12" s="7"/>
      <c r="G12" s="7"/>
      <c r="H12" s="7"/>
      <c r="I12" s="7"/>
      <c r="J12" s="93">
        <v>30000</v>
      </c>
      <c r="K12" s="7"/>
      <c r="L12" s="7"/>
      <c r="M12" s="7"/>
      <c r="N12" s="7"/>
      <c r="O12" s="7"/>
      <c r="P12" s="7"/>
      <c r="Q12" s="110"/>
      <c r="R12" s="105">
        <f>(Table156811[[#This Row],[Commercial Bid Price per case for NOI ($)]]-Table156811[[#This Row],[Pass-Thru Value per case ($)]])+Table156811[[#This Row],[Region 1: Fixed Fee Per Case ($)]]</f>
        <v>0</v>
      </c>
      <c r="S12" s="18" t="e">
        <f>(Table156811[[#This Row],[Commercial Bid Price per case for NOI ($)]]+Table156811[[#This Row],[Region 1: Fixed Fee Per Case ($)]])/Table156811[[#This Row],['# of CN Servings per case]]</f>
        <v>#DIV/0!</v>
      </c>
      <c r="T12" s="118" t="e">
        <f>Table156811[[#This Row],[Total Cost Per Serving (N+O)/I]]*Table156811[[#This Row],[Estimated Servings Annual]]</f>
        <v>#DIV/0!</v>
      </c>
      <c r="U12" s="105">
        <f>(Table156811[[#This Row],[Commercial Bid Price per case for NOI ($)]]-Table156811[[#This Row],[Pass-Thru Value per case ($)]])+Table156811[[#This Row],[Region 2: Fixed Fee Per Case ($)]]</f>
        <v>0</v>
      </c>
      <c r="V12" s="24" t="e">
        <f>(Table156811[[#This Row],[Commercial Bid Price per case for NOI ($)]]+Table156811[[#This Row],[Region 2: Fixed Fee Per Case ($)]])/Table156811[[#This Row],['# of CN Servings per case]]</f>
        <v>#DIV/0!</v>
      </c>
      <c r="W12" s="20" t="e">
        <f>Table156811[[#This Row],[Total Cost Per Serving (N+P)/I]]*Table156811[[#This Row],[Estimated Servings Annual]]</f>
        <v>#DIV/0!</v>
      </c>
    </row>
    <row r="13" spans="1:23" x14ac:dyDescent="0.25">
      <c r="A13" s="39" t="s">
        <v>67</v>
      </c>
      <c r="B13" s="5" t="s">
        <v>69</v>
      </c>
      <c r="C13" s="7" t="s">
        <v>13</v>
      </c>
      <c r="D13" s="7"/>
      <c r="E13" s="7"/>
      <c r="F13" s="7"/>
      <c r="G13" s="7"/>
      <c r="H13" s="7"/>
      <c r="I13" s="7"/>
      <c r="J13" s="93">
        <v>30000</v>
      </c>
      <c r="K13" s="7"/>
      <c r="L13" s="7"/>
      <c r="M13" s="7"/>
      <c r="N13" s="7"/>
      <c r="O13" s="7"/>
      <c r="P13" s="7"/>
      <c r="Q13" s="110"/>
      <c r="R13" s="105">
        <f>(Table156811[[#This Row],[Commercial Bid Price per case for NOI ($)]]-Table156811[[#This Row],[Pass-Thru Value per case ($)]])+Table156811[[#This Row],[Region 1: Fixed Fee Per Case ($)]]</f>
        <v>0</v>
      </c>
      <c r="S13" s="18" t="e">
        <f>(Table156811[[#This Row],[Commercial Bid Price per case for NOI ($)]]+Table156811[[#This Row],[Region 1: Fixed Fee Per Case ($)]])/Table156811[[#This Row],['# of CN Servings per case]]</f>
        <v>#DIV/0!</v>
      </c>
      <c r="T13" s="118" t="e">
        <f>Table156811[[#This Row],[Total Cost Per Serving (N+O)/I]]*Table156811[[#This Row],[Estimated Servings Annual]]</f>
        <v>#DIV/0!</v>
      </c>
      <c r="U13" s="105">
        <f>(Table156811[[#This Row],[Commercial Bid Price per case for NOI ($)]]-Table156811[[#This Row],[Pass-Thru Value per case ($)]])+Table156811[[#This Row],[Region 2: Fixed Fee Per Case ($)]]</f>
        <v>0</v>
      </c>
      <c r="V13" s="24" t="e">
        <f>(Table156811[[#This Row],[Commercial Bid Price per case for NOI ($)]]+Table156811[[#This Row],[Region 2: Fixed Fee Per Case ($)]])/Table156811[[#This Row],['# of CN Servings per case]]</f>
        <v>#DIV/0!</v>
      </c>
      <c r="W13" s="20" t="e">
        <f>Table156811[[#This Row],[Total Cost Per Serving (N+P)/I]]*Table156811[[#This Row],[Estimated Servings Annual]]</f>
        <v>#DIV/0!</v>
      </c>
    </row>
    <row r="14" spans="1:23" ht="15.75" thickBot="1" x14ac:dyDescent="0.3">
      <c r="A14" s="40" t="s">
        <v>67</v>
      </c>
      <c r="B14" s="8" t="s">
        <v>69</v>
      </c>
      <c r="C14" s="9" t="s">
        <v>13</v>
      </c>
      <c r="D14" s="9"/>
      <c r="E14" s="9"/>
      <c r="F14" s="9"/>
      <c r="G14" s="9"/>
      <c r="H14" s="9"/>
      <c r="I14" s="9"/>
      <c r="J14" s="94">
        <v>30000</v>
      </c>
      <c r="K14" s="9"/>
      <c r="L14" s="9"/>
      <c r="M14" s="9"/>
      <c r="N14" s="9"/>
      <c r="O14" s="9"/>
      <c r="P14" s="9"/>
      <c r="Q14" s="111"/>
      <c r="R14" s="106">
        <f>(Table156811[[#This Row],[Commercial Bid Price per case for NOI ($)]]-Table156811[[#This Row],[Pass-Thru Value per case ($)]])+Table156811[[#This Row],[Region 1: Fixed Fee Per Case ($)]]</f>
        <v>0</v>
      </c>
      <c r="S14" s="21" t="e">
        <f>(Table156811[[#This Row],[Commercial Bid Price per case for NOI ($)]]+Table156811[[#This Row],[Region 1: Fixed Fee Per Case ($)]])/Table156811[[#This Row],['# of CN Servings per case]]</f>
        <v>#DIV/0!</v>
      </c>
      <c r="T14" s="120" t="e">
        <f>Table156811[[#This Row],[Total Cost Per Serving (N+O)/I]]*Table156811[[#This Row],[Estimated Servings Annual]]</f>
        <v>#DIV/0!</v>
      </c>
      <c r="U14" s="106">
        <f>(Table156811[[#This Row],[Commercial Bid Price per case for NOI ($)]]-Table156811[[#This Row],[Pass-Thru Value per case ($)]])+Table156811[[#This Row],[Region 2: Fixed Fee Per Case ($)]]</f>
        <v>0</v>
      </c>
      <c r="V14" s="25" t="e">
        <f>(Table156811[[#This Row],[Commercial Bid Price per case for NOI ($)]]+Table156811[[#This Row],[Region 2: Fixed Fee Per Case ($)]])/Table156811[[#This Row],['# of CN Servings per case]]</f>
        <v>#DIV/0!</v>
      </c>
      <c r="W14" s="23" t="e">
        <f>Table156811[[#This Row],[Total Cost Per Serving (N+P)/I]]*Table156811[[#This Row],[Estimated Servings Annual]]</f>
        <v>#DIV/0!</v>
      </c>
    </row>
    <row r="15" spans="1:23" x14ac:dyDescent="0.25">
      <c r="A15" s="39" t="s">
        <v>67</v>
      </c>
      <c r="B15" s="2" t="s">
        <v>70</v>
      </c>
      <c r="C15" s="3" t="s">
        <v>26</v>
      </c>
      <c r="D15" s="4"/>
      <c r="E15" s="4"/>
      <c r="F15" s="4"/>
      <c r="G15" s="4"/>
      <c r="H15" s="4"/>
      <c r="I15" s="4"/>
      <c r="J15" s="92">
        <v>30000</v>
      </c>
      <c r="K15" s="4"/>
      <c r="L15" s="4"/>
      <c r="M15" s="4"/>
      <c r="N15" s="4"/>
      <c r="O15" s="4"/>
      <c r="P15" s="4"/>
      <c r="Q15" s="109"/>
      <c r="R15" s="104">
        <f>(Table156811[[#This Row],[Commercial Bid Price per case for NOI ($)]]-Table156811[[#This Row],[Pass-Thru Value per case ($)]])+Table156811[[#This Row],[Region 1: Fixed Fee Per Case ($)]]</f>
        <v>0</v>
      </c>
      <c r="S15" s="15" t="e">
        <f>(Table156811[[#This Row],[Commercial Bid Price per case for NOI ($)]]+Table156811[[#This Row],[Region 1: Fixed Fee Per Case ($)]])/Table156811[[#This Row],['# of CN Servings per case]]</f>
        <v>#DIV/0!</v>
      </c>
      <c r="T15" s="115" t="e">
        <f>Table156811[[#This Row],[Total Cost Per Serving (N+O)/I]]*Table156811[[#This Row],[Estimated Servings Annual]]</f>
        <v>#DIV/0!</v>
      </c>
      <c r="U15" s="104">
        <f>(Table156811[[#This Row],[Commercial Bid Price per case for NOI ($)]]-Table156811[[#This Row],[Pass-Thru Value per case ($)]])+Table156811[[#This Row],[Region 2: Fixed Fee Per Case ($)]]</f>
        <v>0</v>
      </c>
      <c r="V15" s="31" t="e">
        <f>(Table156811[[#This Row],[Commercial Bid Price per case for NOI ($)]]+Table156811[[#This Row],[Region 2: Fixed Fee Per Case ($)]])/Table156811[[#This Row],['# of CN Servings per case]]</f>
        <v>#DIV/0!</v>
      </c>
      <c r="W15" s="17" t="e">
        <f>Table156811[[#This Row],[Total Cost Per Serving (N+P)/I]]*Table156811[[#This Row],[Estimated Servings Annual]]</f>
        <v>#DIV/0!</v>
      </c>
    </row>
    <row r="16" spans="1:23" x14ac:dyDescent="0.25">
      <c r="A16" s="39" t="s">
        <v>67</v>
      </c>
      <c r="B16" s="5" t="s">
        <v>70</v>
      </c>
      <c r="C16" s="6" t="s">
        <v>26</v>
      </c>
      <c r="D16" s="7"/>
      <c r="E16" s="7"/>
      <c r="F16" s="7"/>
      <c r="G16" s="7"/>
      <c r="H16" s="7"/>
      <c r="I16" s="7"/>
      <c r="J16" s="93">
        <v>30000</v>
      </c>
      <c r="K16" s="7"/>
      <c r="L16" s="7"/>
      <c r="M16" s="7"/>
      <c r="N16" s="7"/>
      <c r="O16" s="7"/>
      <c r="P16" s="7"/>
      <c r="Q16" s="110"/>
      <c r="R16" s="105">
        <f>(Table156811[[#This Row],[Commercial Bid Price per case for NOI ($)]]-Table156811[[#This Row],[Pass-Thru Value per case ($)]])+Table156811[[#This Row],[Region 1: Fixed Fee Per Case ($)]]</f>
        <v>0</v>
      </c>
      <c r="S16" s="18" t="e">
        <f>(Table156811[[#This Row],[Commercial Bid Price per case for NOI ($)]]+Table156811[[#This Row],[Region 1: Fixed Fee Per Case ($)]])/Table156811[[#This Row],['# of CN Servings per case]]</f>
        <v>#DIV/0!</v>
      </c>
      <c r="T16" s="118" t="e">
        <f>Table156811[[#This Row],[Total Cost Per Serving (N+O)/I]]*Table156811[[#This Row],[Estimated Servings Annual]]</f>
        <v>#DIV/0!</v>
      </c>
      <c r="U16" s="105">
        <f>(Table156811[[#This Row],[Commercial Bid Price per case for NOI ($)]]-Table156811[[#This Row],[Pass-Thru Value per case ($)]])+Table156811[[#This Row],[Region 2: Fixed Fee Per Case ($)]]</f>
        <v>0</v>
      </c>
      <c r="V16" s="24" t="e">
        <f>(Table156811[[#This Row],[Commercial Bid Price per case for NOI ($)]]+Table156811[[#This Row],[Region 2: Fixed Fee Per Case ($)]])/Table156811[[#This Row],['# of CN Servings per case]]</f>
        <v>#DIV/0!</v>
      </c>
      <c r="W16" s="20" t="e">
        <f>Table156811[[#This Row],[Total Cost Per Serving (N+P)/I]]*Table156811[[#This Row],[Estimated Servings Annual]]</f>
        <v>#DIV/0!</v>
      </c>
    </row>
    <row r="17" spans="1:23" x14ac:dyDescent="0.25">
      <c r="A17" s="39" t="s">
        <v>67</v>
      </c>
      <c r="B17" s="5" t="s">
        <v>70</v>
      </c>
      <c r="C17" s="7" t="s">
        <v>13</v>
      </c>
      <c r="D17" s="7"/>
      <c r="E17" s="7"/>
      <c r="F17" s="7"/>
      <c r="G17" s="7"/>
      <c r="H17" s="7"/>
      <c r="I17" s="7"/>
      <c r="J17" s="93">
        <v>30000</v>
      </c>
      <c r="K17" s="7"/>
      <c r="L17" s="7"/>
      <c r="M17" s="7"/>
      <c r="N17" s="7"/>
      <c r="O17" s="7"/>
      <c r="P17" s="7"/>
      <c r="Q17" s="110"/>
      <c r="R17" s="105">
        <f>(Table156811[[#This Row],[Commercial Bid Price per case for NOI ($)]]-Table156811[[#This Row],[Pass-Thru Value per case ($)]])+Table156811[[#This Row],[Region 1: Fixed Fee Per Case ($)]]</f>
        <v>0</v>
      </c>
      <c r="S17" s="18" t="e">
        <f>(Table156811[[#This Row],[Commercial Bid Price per case for NOI ($)]]+Table156811[[#This Row],[Region 1: Fixed Fee Per Case ($)]])/Table156811[[#This Row],['# of CN Servings per case]]</f>
        <v>#DIV/0!</v>
      </c>
      <c r="T17" s="118" t="e">
        <f>Table156811[[#This Row],[Total Cost Per Serving (N+O)/I]]*Table156811[[#This Row],[Estimated Servings Annual]]</f>
        <v>#DIV/0!</v>
      </c>
      <c r="U17" s="105">
        <f>(Table156811[[#This Row],[Commercial Bid Price per case for NOI ($)]]-Table156811[[#This Row],[Pass-Thru Value per case ($)]])+Table156811[[#This Row],[Region 2: Fixed Fee Per Case ($)]]</f>
        <v>0</v>
      </c>
      <c r="V17" s="24" t="e">
        <f>(Table156811[[#This Row],[Commercial Bid Price per case for NOI ($)]]+Table156811[[#This Row],[Region 2: Fixed Fee Per Case ($)]])/Table156811[[#This Row],['# of CN Servings per case]]</f>
        <v>#DIV/0!</v>
      </c>
      <c r="W17" s="20" t="e">
        <f>Table156811[[#This Row],[Total Cost Per Serving (N+P)/I]]*Table156811[[#This Row],[Estimated Servings Annual]]</f>
        <v>#DIV/0!</v>
      </c>
    </row>
    <row r="18" spans="1:23" x14ac:dyDescent="0.25">
      <c r="A18" s="39" t="s">
        <v>67</v>
      </c>
      <c r="B18" s="5" t="s">
        <v>70</v>
      </c>
      <c r="C18" s="7" t="s">
        <v>13</v>
      </c>
      <c r="D18" s="7"/>
      <c r="E18" s="7"/>
      <c r="F18" s="7"/>
      <c r="G18" s="7"/>
      <c r="H18" s="7"/>
      <c r="I18" s="7"/>
      <c r="J18" s="93">
        <v>30000</v>
      </c>
      <c r="K18" s="7"/>
      <c r="L18" s="7"/>
      <c r="M18" s="7"/>
      <c r="N18" s="7"/>
      <c r="O18" s="7"/>
      <c r="P18" s="7"/>
      <c r="Q18" s="110"/>
      <c r="R18" s="105">
        <f>(Table156811[[#This Row],[Commercial Bid Price per case for NOI ($)]]-Table156811[[#This Row],[Pass-Thru Value per case ($)]])+Table156811[[#This Row],[Region 1: Fixed Fee Per Case ($)]]</f>
        <v>0</v>
      </c>
      <c r="S18" s="18" t="e">
        <f>(Table156811[[#This Row],[Commercial Bid Price per case for NOI ($)]]+Table156811[[#This Row],[Region 1: Fixed Fee Per Case ($)]])/Table156811[[#This Row],['# of CN Servings per case]]</f>
        <v>#DIV/0!</v>
      </c>
      <c r="T18" s="118" t="e">
        <f>Table156811[[#This Row],[Total Cost Per Serving (N+O)/I]]*Table156811[[#This Row],[Estimated Servings Annual]]</f>
        <v>#DIV/0!</v>
      </c>
      <c r="U18" s="105">
        <f>(Table156811[[#This Row],[Commercial Bid Price per case for NOI ($)]]-Table156811[[#This Row],[Pass-Thru Value per case ($)]])+Table156811[[#This Row],[Region 2: Fixed Fee Per Case ($)]]</f>
        <v>0</v>
      </c>
      <c r="V18" s="24" t="e">
        <f>(Table156811[[#This Row],[Commercial Bid Price per case for NOI ($)]]+Table156811[[#This Row],[Region 2: Fixed Fee Per Case ($)]])/Table156811[[#This Row],['# of CN Servings per case]]</f>
        <v>#DIV/0!</v>
      </c>
      <c r="W18" s="20" t="e">
        <f>Table156811[[#This Row],[Total Cost Per Serving (N+P)/I]]*Table156811[[#This Row],[Estimated Servings Annual]]</f>
        <v>#DIV/0!</v>
      </c>
    </row>
    <row r="19" spans="1:23" x14ac:dyDescent="0.25">
      <c r="A19" s="39" t="s">
        <v>67</v>
      </c>
      <c r="B19" s="5" t="s">
        <v>70</v>
      </c>
      <c r="C19" s="7" t="s">
        <v>13</v>
      </c>
      <c r="D19" s="7"/>
      <c r="E19" s="7"/>
      <c r="F19" s="7"/>
      <c r="G19" s="7"/>
      <c r="H19" s="7"/>
      <c r="I19" s="7"/>
      <c r="J19" s="93">
        <v>30000</v>
      </c>
      <c r="K19" s="7"/>
      <c r="L19" s="7"/>
      <c r="M19" s="7"/>
      <c r="N19" s="7"/>
      <c r="O19" s="7"/>
      <c r="P19" s="7"/>
      <c r="Q19" s="110"/>
      <c r="R19" s="105">
        <f>(Table156811[[#This Row],[Commercial Bid Price per case for NOI ($)]]-Table156811[[#This Row],[Pass-Thru Value per case ($)]])+Table156811[[#This Row],[Region 1: Fixed Fee Per Case ($)]]</f>
        <v>0</v>
      </c>
      <c r="S19" s="18" t="e">
        <f>(Table156811[[#This Row],[Commercial Bid Price per case for NOI ($)]]+Table156811[[#This Row],[Region 1: Fixed Fee Per Case ($)]])/Table156811[[#This Row],['# of CN Servings per case]]</f>
        <v>#DIV/0!</v>
      </c>
      <c r="T19" s="118" t="e">
        <f>Table156811[[#This Row],[Total Cost Per Serving (N+O)/I]]*Table156811[[#This Row],[Estimated Servings Annual]]</f>
        <v>#DIV/0!</v>
      </c>
      <c r="U19" s="105">
        <f>(Table156811[[#This Row],[Commercial Bid Price per case for NOI ($)]]-Table156811[[#This Row],[Pass-Thru Value per case ($)]])+Table156811[[#This Row],[Region 2: Fixed Fee Per Case ($)]]</f>
        <v>0</v>
      </c>
      <c r="V19" s="24" t="e">
        <f>(Table156811[[#This Row],[Commercial Bid Price per case for NOI ($)]]+Table156811[[#This Row],[Region 2: Fixed Fee Per Case ($)]])/Table156811[[#This Row],['# of CN Servings per case]]</f>
        <v>#DIV/0!</v>
      </c>
      <c r="W19" s="20" t="e">
        <f>Table156811[[#This Row],[Total Cost Per Serving (N+P)/I]]*Table156811[[#This Row],[Estimated Servings Annual]]</f>
        <v>#DIV/0!</v>
      </c>
    </row>
    <row r="20" spans="1:23" ht="15.75" thickBot="1" x14ac:dyDescent="0.3">
      <c r="A20" s="41" t="s">
        <v>67</v>
      </c>
      <c r="B20" s="8" t="s">
        <v>70</v>
      </c>
      <c r="C20" s="9" t="s">
        <v>13</v>
      </c>
      <c r="D20" s="9"/>
      <c r="E20" s="9"/>
      <c r="F20" s="9"/>
      <c r="G20" s="9"/>
      <c r="H20" s="9"/>
      <c r="I20" s="9"/>
      <c r="J20" s="94">
        <v>30000</v>
      </c>
      <c r="K20" s="9"/>
      <c r="L20" s="9"/>
      <c r="M20" s="9"/>
      <c r="N20" s="9"/>
      <c r="O20" s="9"/>
      <c r="P20" s="9"/>
      <c r="Q20" s="111"/>
      <c r="R20" s="106">
        <f>(Table156811[[#This Row],[Commercial Bid Price per case for NOI ($)]]-Table156811[[#This Row],[Pass-Thru Value per case ($)]])+Table156811[[#This Row],[Region 1: Fixed Fee Per Case ($)]]</f>
        <v>0</v>
      </c>
      <c r="S20" s="21" t="e">
        <f>(Table156811[[#This Row],[Commercial Bid Price per case for NOI ($)]]+Table156811[[#This Row],[Region 1: Fixed Fee Per Case ($)]])/Table156811[[#This Row],['# of CN Servings per case]]</f>
        <v>#DIV/0!</v>
      </c>
      <c r="T20" s="120" t="e">
        <f>Table156811[[#This Row],[Total Cost Per Serving (N+O)/I]]*Table156811[[#This Row],[Estimated Servings Annual]]</f>
        <v>#DIV/0!</v>
      </c>
      <c r="U20" s="106">
        <f>(Table156811[[#This Row],[Commercial Bid Price per case for NOI ($)]]-Table156811[[#This Row],[Pass-Thru Value per case ($)]])+Table156811[[#This Row],[Region 2: Fixed Fee Per Case ($)]]</f>
        <v>0</v>
      </c>
      <c r="V20" s="25" t="e">
        <f>(Table156811[[#This Row],[Commercial Bid Price per case for NOI ($)]]+Table156811[[#This Row],[Region 2: Fixed Fee Per Case ($)]])/Table156811[[#This Row],['# of CN Servings per case]]</f>
        <v>#DIV/0!</v>
      </c>
      <c r="W20" s="23" t="e">
        <f>Table156811[[#This Row],[Total Cost Per Serving (N+P)/I]]*Table156811[[#This Row],[Estimated Servings Annual]]</f>
        <v>#DIV/0!</v>
      </c>
    </row>
  </sheetData>
  <mergeCells count="3">
    <mergeCell ref="E1:G1"/>
    <mergeCell ref="R1:T1"/>
    <mergeCell ref="U1:W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4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V3" sqref="V3"/>
    </sheetView>
  </sheetViews>
  <sheetFormatPr defaultRowHeight="15" x14ac:dyDescent="0.25"/>
  <cols>
    <col min="1" max="1" width="11.140625" bestFit="1" customWidth="1"/>
    <col min="2" max="2" width="32.42578125" bestFit="1" customWidth="1"/>
    <col min="3" max="3" width="22" bestFit="1" customWidth="1"/>
    <col min="4" max="4" width="21" bestFit="1" customWidth="1"/>
    <col min="5" max="5" width="31.7109375" customWidth="1"/>
    <col min="6" max="6" width="15.140625" bestFit="1" customWidth="1"/>
    <col min="7" max="7" width="14.28515625" bestFit="1" customWidth="1"/>
    <col min="8" max="9" width="17.5703125" bestFit="1" customWidth="1"/>
    <col min="10" max="10" width="16.42578125" style="90" bestFit="1" customWidth="1"/>
    <col min="11" max="11" width="22.7109375" bestFit="1" customWidth="1"/>
    <col min="12" max="12" width="19.140625" bestFit="1" customWidth="1"/>
    <col min="13" max="13" width="17.28515625" bestFit="1" customWidth="1"/>
    <col min="14" max="14" width="15.42578125" bestFit="1" customWidth="1"/>
    <col min="15" max="15" width="19.42578125" customWidth="1"/>
    <col min="16" max="16" width="18.42578125" customWidth="1"/>
    <col min="17" max="17" width="18.28515625" bestFit="1" customWidth="1"/>
    <col min="18" max="18" width="18" customWidth="1"/>
    <col min="19" max="20" width="15.28515625" customWidth="1"/>
    <col min="21" max="21" width="17.140625" customWidth="1"/>
    <col min="22" max="24" width="15.28515625" customWidth="1"/>
  </cols>
  <sheetData>
    <row r="1" spans="1:23" x14ac:dyDescent="0.25">
      <c r="D1" s="1" t="s">
        <v>149</v>
      </c>
      <c r="E1" s="137" t="str">
        <f>Instructions!A2</f>
        <v xml:space="preserve"> </v>
      </c>
      <c r="F1" s="137"/>
      <c r="G1" s="137"/>
      <c r="R1" s="134" t="s">
        <v>167</v>
      </c>
      <c r="S1" s="135"/>
      <c r="T1" s="136"/>
      <c r="U1" s="134" t="s">
        <v>168</v>
      </c>
      <c r="V1" s="135"/>
      <c r="W1" s="136"/>
    </row>
    <row r="2" spans="1:23" s="1" customFormat="1" ht="45.75" thickBot="1" x14ac:dyDescent="0.3">
      <c r="A2" s="1" t="s">
        <v>14</v>
      </c>
      <c r="B2" s="1" t="s">
        <v>3</v>
      </c>
      <c r="C2" s="1" t="s">
        <v>23</v>
      </c>
      <c r="D2" s="1" t="s">
        <v>154</v>
      </c>
      <c r="E2" s="1" t="s">
        <v>0</v>
      </c>
      <c r="F2" s="1" t="s">
        <v>4</v>
      </c>
      <c r="G2" s="1" t="s">
        <v>20</v>
      </c>
      <c r="H2" s="1" t="s">
        <v>1</v>
      </c>
      <c r="I2" s="1" t="s">
        <v>5</v>
      </c>
      <c r="J2" s="91" t="s">
        <v>6</v>
      </c>
      <c r="K2" s="1" t="s">
        <v>2</v>
      </c>
      <c r="L2" s="1" t="s">
        <v>21</v>
      </c>
      <c r="M2" s="71" t="s">
        <v>153</v>
      </c>
      <c r="N2" s="1" t="s">
        <v>22</v>
      </c>
      <c r="O2" s="1" t="s">
        <v>165</v>
      </c>
      <c r="P2" s="1" t="s">
        <v>166</v>
      </c>
      <c r="Q2" s="1" t="s">
        <v>19</v>
      </c>
      <c r="R2" s="101" t="s">
        <v>162</v>
      </c>
      <c r="S2" s="102" t="s">
        <v>163</v>
      </c>
      <c r="T2" s="103" t="s">
        <v>171</v>
      </c>
      <c r="U2" s="101" t="s">
        <v>169</v>
      </c>
      <c r="V2" s="102" t="s">
        <v>170</v>
      </c>
      <c r="W2" s="103" t="s">
        <v>172</v>
      </c>
    </row>
    <row r="3" spans="1:23" x14ac:dyDescent="0.25">
      <c r="A3" s="37" t="s">
        <v>72</v>
      </c>
      <c r="B3" s="42" t="s">
        <v>110</v>
      </c>
      <c r="C3" s="3" t="s">
        <v>111</v>
      </c>
      <c r="D3" s="4"/>
      <c r="E3" s="4"/>
      <c r="F3" s="4"/>
      <c r="G3" s="4"/>
      <c r="H3" s="4"/>
      <c r="I3" s="4"/>
      <c r="J3" s="92">
        <v>500000</v>
      </c>
      <c r="K3" s="4"/>
      <c r="L3" s="4"/>
      <c r="M3" s="4"/>
      <c r="N3" s="4"/>
      <c r="O3" s="4"/>
      <c r="P3" s="4"/>
      <c r="Q3" s="109"/>
      <c r="R3" s="104">
        <f>(Table156810[[#This Row],[Commercial Bid Price per case for NOI ($)]]-Table156810[[#This Row],[Pass-Thru Value per case ($)]])+Table156810[[#This Row],[Region 1: Fixed Fee Per Case ($)]]</f>
        <v>0</v>
      </c>
      <c r="S3" s="15" t="e">
        <f>(Table156810[[#This Row],[Commercial Bid Price per case for NOI ($)]]+Table156810[[#This Row],[Region 1: Fixed Fee Per Case ($)]])/Table156810[[#This Row],['# of CN Servings per case]]</f>
        <v>#DIV/0!</v>
      </c>
      <c r="T3" s="115" t="e">
        <f>Table156810[[#This Row],[Total Cost Per Serving (N+O)/I]]*Table156810[[#This Row],[Estimated Servings Annual]]</f>
        <v>#DIV/0!</v>
      </c>
      <c r="U3" s="104">
        <f>(Table156810[[#This Row],[Commercial Bid Price per case for NOI ($)]]-Table156810[[#This Row],[Pass-Thru Value per case ($)]])+Table156810[[#This Row],[Region 2: Fixed Fee Per Case ($)]]</f>
        <v>0</v>
      </c>
      <c r="V3" s="16" t="e">
        <f>(Table156810[[#This Row],[Commercial Bid Price per case for NOI ($)]]+Table156810[[#This Row],[Region 2: Fixed Fee Per Case ($)]])/Table156810[[#This Row],['# of CN Servings per case]]</f>
        <v>#DIV/0!</v>
      </c>
      <c r="W3" s="17" t="e">
        <f>Table156810[[#This Row],[Total Cost Per Serving (N+P)/I]]*Table156810[[#This Row],[Estimated Servings Annual]]</f>
        <v>#DIV/0!</v>
      </c>
    </row>
    <row r="4" spans="1:23" x14ac:dyDescent="0.25">
      <c r="A4" s="38" t="s">
        <v>72</v>
      </c>
      <c r="B4" s="43" t="s">
        <v>110</v>
      </c>
      <c r="C4" s="6" t="s">
        <v>111</v>
      </c>
      <c r="D4" s="7"/>
      <c r="E4" s="7"/>
      <c r="F4" s="7"/>
      <c r="G4" s="7"/>
      <c r="H4" s="7"/>
      <c r="I4" s="7"/>
      <c r="J4" s="93">
        <v>500000</v>
      </c>
      <c r="K4" s="7"/>
      <c r="L4" s="7"/>
      <c r="M4" s="7"/>
      <c r="N4" s="7"/>
      <c r="O4" s="7"/>
      <c r="P4" s="7"/>
      <c r="Q4" s="110"/>
      <c r="R4" s="105">
        <f>(Table156810[[#This Row],[Commercial Bid Price per case for NOI ($)]]-Table156810[[#This Row],[Pass-Thru Value per case ($)]])+Table156810[[#This Row],[Region 1: Fixed Fee Per Case ($)]]</f>
        <v>0</v>
      </c>
      <c r="S4" s="18" t="e">
        <f>(Table156810[[#This Row],[Commercial Bid Price per case for NOI ($)]]+Table156810[[#This Row],[Region 1: Fixed Fee Per Case ($)]])/Table156810[[#This Row],['# of CN Servings per case]]</f>
        <v>#DIV/0!</v>
      </c>
      <c r="T4" s="118" t="e">
        <f>Table156810[[#This Row],[Total Cost Per Serving (N+O)/I]]*Table156810[[#This Row],[Estimated Servings Annual]]</f>
        <v>#DIV/0!</v>
      </c>
      <c r="U4" s="105">
        <f>(Table156810[[#This Row],[Commercial Bid Price per case for NOI ($)]]-Table156810[[#This Row],[Pass-Thru Value per case ($)]])+Table156810[[#This Row],[Region 2: Fixed Fee Per Case ($)]]</f>
        <v>0</v>
      </c>
      <c r="V4" s="19" t="e">
        <f>(Table156810[[#This Row],[Commercial Bid Price per case for NOI ($)]]+Table156810[[#This Row],[Region 2: Fixed Fee Per Case ($)]])/Table156810[[#This Row],['# of CN Servings per case]]</f>
        <v>#DIV/0!</v>
      </c>
      <c r="W4" s="20" t="e">
        <f>Table156810[[#This Row],[Total Cost Per Serving (N+P)/I]]*Table156810[[#This Row],[Estimated Servings Annual]]</f>
        <v>#DIV/0!</v>
      </c>
    </row>
    <row r="5" spans="1:23" x14ac:dyDescent="0.25">
      <c r="A5" s="45" t="s">
        <v>72</v>
      </c>
      <c r="B5" s="61" t="s">
        <v>110</v>
      </c>
      <c r="C5" s="6" t="s">
        <v>112</v>
      </c>
      <c r="D5" s="7"/>
      <c r="E5" s="7"/>
      <c r="F5" s="7"/>
      <c r="G5" s="7"/>
      <c r="H5" s="7"/>
      <c r="I5" s="7"/>
      <c r="J5" s="93">
        <v>500000</v>
      </c>
      <c r="K5" s="7"/>
      <c r="L5" s="7"/>
      <c r="M5" s="7"/>
      <c r="N5" s="7"/>
      <c r="O5" s="7"/>
      <c r="P5" s="7"/>
      <c r="Q5" s="110"/>
      <c r="R5" s="105">
        <f>(Table156810[[#This Row],[Commercial Bid Price per case for NOI ($)]]-Table156810[[#This Row],[Pass-Thru Value per case ($)]])+Table156810[[#This Row],[Region 1: Fixed Fee Per Case ($)]]</f>
        <v>0</v>
      </c>
      <c r="S5" s="18" t="e">
        <f>(Table156810[[#This Row],[Commercial Bid Price per case for NOI ($)]]+Table156810[[#This Row],[Region 1: Fixed Fee Per Case ($)]])/Table156810[[#This Row],['# of CN Servings per case]]</f>
        <v>#DIV/0!</v>
      </c>
      <c r="T5" s="118" t="e">
        <f>Table156810[[#This Row],[Total Cost Per Serving (N+O)/I]]*Table156810[[#This Row],[Estimated Servings Annual]]</f>
        <v>#DIV/0!</v>
      </c>
      <c r="U5" s="105">
        <f>(Table156810[[#This Row],[Commercial Bid Price per case for NOI ($)]]-Table156810[[#This Row],[Pass-Thru Value per case ($)]])+Table156810[[#This Row],[Region 2: Fixed Fee Per Case ($)]]</f>
        <v>0</v>
      </c>
      <c r="V5" s="24" t="e">
        <f>(Table156810[[#This Row],[Commercial Bid Price per case for NOI ($)]]+Table156810[[#This Row],[Region 2: Fixed Fee Per Case ($)]])/Table156810[[#This Row],['# of CN Servings per case]]</f>
        <v>#DIV/0!</v>
      </c>
      <c r="W5" s="20" t="e">
        <f>Table156810[[#This Row],[Total Cost Per Serving (N+P)/I]]*Table156810[[#This Row],[Estimated Servings Annual]]</f>
        <v>#DIV/0!</v>
      </c>
    </row>
    <row r="6" spans="1:23" x14ac:dyDescent="0.25">
      <c r="A6" s="45" t="s">
        <v>72</v>
      </c>
      <c r="B6" s="61" t="s">
        <v>110</v>
      </c>
      <c r="C6" s="6" t="s">
        <v>112</v>
      </c>
      <c r="D6" s="7"/>
      <c r="E6" s="7"/>
      <c r="F6" s="7"/>
      <c r="G6" s="7"/>
      <c r="H6" s="7"/>
      <c r="I6" s="7"/>
      <c r="J6" s="93">
        <v>500000</v>
      </c>
      <c r="K6" s="7"/>
      <c r="L6" s="7"/>
      <c r="M6" s="7"/>
      <c r="N6" s="7"/>
      <c r="O6" s="7"/>
      <c r="P6" s="7"/>
      <c r="Q6" s="110"/>
      <c r="R6" s="105">
        <f>(Table156810[[#This Row],[Commercial Bid Price per case for NOI ($)]]-Table156810[[#This Row],[Pass-Thru Value per case ($)]])+Table156810[[#This Row],[Region 1: Fixed Fee Per Case ($)]]</f>
        <v>0</v>
      </c>
      <c r="S6" s="18" t="e">
        <f>(Table156810[[#This Row],[Commercial Bid Price per case for NOI ($)]]+Table156810[[#This Row],[Region 1: Fixed Fee Per Case ($)]])/Table156810[[#This Row],['# of CN Servings per case]]</f>
        <v>#DIV/0!</v>
      </c>
      <c r="T6" s="118" t="e">
        <f>Table156810[[#This Row],[Total Cost Per Serving (N+O)/I]]*Table156810[[#This Row],[Estimated Servings Annual]]</f>
        <v>#DIV/0!</v>
      </c>
      <c r="U6" s="105">
        <f>(Table156810[[#This Row],[Commercial Bid Price per case for NOI ($)]]-Table156810[[#This Row],[Pass-Thru Value per case ($)]])+Table156810[[#This Row],[Region 2: Fixed Fee Per Case ($)]]</f>
        <v>0</v>
      </c>
      <c r="V6" s="24" t="e">
        <f>(Table156810[[#This Row],[Commercial Bid Price per case for NOI ($)]]+Table156810[[#This Row],[Region 2: Fixed Fee Per Case ($)]])/Table156810[[#This Row],['# of CN Servings per case]]</f>
        <v>#DIV/0!</v>
      </c>
      <c r="W6" s="20" t="e">
        <f>Table156810[[#This Row],[Total Cost Per Serving (N+P)/I]]*Table156810[[#This Row],[Estimated Servings Annual]]</f>
        <v>#DIV/0!</v>
      </c>
    </row>
    <row r="7" spans="1:23" x14ac:dyDescent="0.25">
      <c r="A7" s="38" t="s">
        <v>72</v>
      </c>
      <c r="B7" s="43" t="s">
        <v>110</v>
      </c>
      <c r="C7" s="6" t="s">
        <v>113</v>
      </c>
      <c r="D7" s="7"/>
      <c r="E7" s="7"/>
      <c r="F7" s="7"/>
      <c r="G7" s="7"/>
      <c r="H7" s="7"/>
      <c r="I7" s="7"/>
      <c r="J7" s="93">
        <v>500000</v>
      </c>
      <c r="K7" s="7"/>
      <c r="L7" s="7"/>
      <c r="M7" s="7"/>
      <c r="N7" s="7"/>
      <c r="O7" s="7"/>
      <c r="P7" s="7"/>
      <c r="Q7" s="110"/>
      <c r="R7" s="105">
        <f>(Table156810[[#This Row],[Commercial Bid Price per case for NOI ($)]]-Table156810[[#This Row],[Pass-Thru Value per case ($)]])+Table156810[[#This Row],[Region 1: Fixed Fee Per Case ($)]]</f>
        <v>0</v>
      </c>
      <c r="S7" s="18" t="e">
        <f>(Table156810[[#This Row],[Commercial Bid Price per case for NOI ($)]]+Table156810[[#This Row],[Region 1: Fixed Fee Per Case ($)]])/Table156810[[#This Row],['# of CN Servings per case]]</f>
        <v>#DIV/0!</v>
      </c>
      <c r="T7" s="118" t="e">
        <f>Table156810[[#This Row],[Total Cost Per Serving (N+O)/I]]*Table156810[[#This Row],[Estimated Servings Annual]]</f>
        <v>#DIV/0!</v>
      </c>
      <c r="U7" s="105">
        <f>(Table156810[[#This Row],[Commercial Bid Price per case for NOI ($)]]-Table156810[[#This Row],[Pass-Thru Value per case ($)]])+Table156810[[#This Row],[Region 2: Fixed Fee Per Case ($)]]</f>
        <v>0</v>
      </c>
      <c r="V7" s="19" t="e">
        <f>(Table156810[[#This Row],[Commercial Bid Price per case for NOI ($)]]+Table156810[[#This Row],[Region 2: Fixed Fee Per Case ($)]])/Table156810[[#This Row],['# of CN Servings per case]]</f>
        <v>#DIV/0!</v>
      </c>
      <c r="W7" s="20" t="e">
        <f>Table156810[[#This Row],[Total Cost Per Serving (N+P)/I]]*Table156810[[#This Row],[Estimated Servings Annual]]</f>
        <v>#DIV/0!</v>
      </c>
    </row>
    <row r="8" spans="1:23" x14ac:dyDescent="0.25">
      <c r="A8" s="38" t="s">
        <v>72</v>
      </c>
      <c r="B8" s="43" t="s">
        <v>110</v>
      </c>
      <c r="C8" s="6" t="s">
        <v>113</v>
      </c>
      <c r="D8" s="7"/>
      <c r="E8" s="7"/>
      <c r="F8" s="7"/>
      <c r="G8" s="7"/>
      <c r="H8" s="7"/>
      <c r="I8" s="7"/>
      <c r="J8" s="93">
        <v>500000</v>
      </c>
      <c r="K8" s="7"/>
      <c r="L8" s="7"/>
      <c r="M8" s="7"/>
      <c r="N8" s="7"/>
      <c r="O8" s="7"/>
      <c r="P8" s="7"/>
      <c r="Q8" s="110"/>
      <c r="R8" s="105">
        <f>(Table156810[[#This Row],[Commercial Bid Price per case for NOI ($)]]-Table156810[[#This Row],[Pass-Thru Value per case ($)]])+Table156810[[#This Row],[Region 1: Fixed Fee Per Case ($)]]</f>
        <v>0</v>
      </c>
      <c r="S8" s="18" t="e">
        <f>(Table156810[[#This Row],[Commercial Bid Price per case for NOI ($)]]+Table156810[[#This Row],[Region 1: Fixed Fee Per Case ($)]])/Table156810[[#This Row],['# of CN Servings per case]]</f>
        <v>#DIV/0!</v>
      </c>
      <c r="T8" s="118" t="e">
        <f>Table156810[[#This Row],[Total Cost Per Serving (N+O)/I]]*Table156810[[#This Row],[Estimated Servings Annual]]</f>
        <v>#DIV/0!</v>
      </c>
      <c r="U8" s="105">
        <f>(Table156810[[#This Row],[Commercial Bid Price per case for NOI ($)]]-Table156810[[#This Row],[Pass-Thru Value per case ($)]])+Table156810[[#This Row],[Region 2: Fixed Fee Per Case ($)]]</f>
        <v>0</v>
      </c>
      <c r="V8" s="19" t="e">
        <f>(Table156810[[#This Row],[Commercial Bid Price per case for NOI ($)]]+Table156810[[#This Row],[Region 2: Fixed Fee Per Case ($)]])/Table156810[[#This Row],['# of CN Servings per case]]</f>
        <v>#DIV/0!</v>
      </c>
      <c r="W8" s="20" t="e">
        <f>Table156810[[#This Row],[Total Cost Per Serving (N+P)/I]]*Table156810[[#This Row],[Estimated Servings Annual]]</f>
        <v>#DIV/0!</v>
      </c>
    </row>
    <row r="9" spans="1:23" x14ac:dyDescent="0.25">
      <c r="A9" s="38" t="s">
        <v>72</v>
      </c>
      <c r="B9" s="43" t="s">
        <v>110</v>
      </c>
      <c r="C9" s="7" t="s">
        <v>13</v>
      </c>
      <c r="D9" s="7"/>
      <c r="E9" s="7"/>
      <c r="F9" s="7"/>
      <c r="G9" s="7"/>
      <c r="H9" s="7"/>
      <c r="I9" s="7"/>
      <c r="J9" s="93">
        <v>500000</v>
      </c>
      <c r="K9" s="7"/>
      <c r="L9" s="7"/>
      <c r="M9" s="7"/>
      <c r="N9" s="7"/>
      <c r="O9" s="7"/>
      <c r="P9" s="7"/>
      <c r="Q9" s="110"/>
      <c r="R9" s="105">
        <f>(Table156810[[#This Row],[Commercial Bid Price per case for NOI ($)]]-Table156810[[#This Row],[Pass-Thru Value per case ($)]])+Table156810[[#This Row],[Region 1: Fixed Fee Per Case ($)]]</f>
        <v>0</v>
      </c>
      <c r="S9" s="18" t="e">
        <f>(Table156810[[#This Row],[Commercial Bid Price per case for NOI ($)]]+Table156810[[#This Row],[Region 1: Fixed Fee Per Case ($)]])/Table156810[[#This Row],['# of CN Servings per case]]</f>
        <v>#DIV/0!</v>
      </c>
      <c r="T9" s="118" t="e">
        <f>Table156810[[#This Row],[Total Cost Per Serving (N+O)/I]]*Table156810[[#This Row],[Estimated Servings Annual]]</f>
        <v>#DIV/0!</v>
      </c>
      <c r="U9" s="105">
        <f>(Table156810[[#This Row],[Commercial Bid Price per case for NOI ($)]]-Table156810[[#This Row],[Pass-Thru Value per case ($)]])+Table156810[[#This Row],[Region 2: Fixed Fee Per Case ($)]]</f>
        <v>0</v>
      </c>
      <c r="V9" s="19" t="e">
        <f>(Table156810[[#This Row],[Commercial Bid Price per case for NOI ($)]]+Table156810[[#This Row],[Region 2: Fixed Fee Per Case ($)]])/Table156810[[#This Row],['# of CN Servings per case]]</f>
        <v>#DIV/0!</v>
      </c>
      <c r="W9" s="20" t="e">
        <f>Table156810[[#This Row],[Total Cost Per Serving (N+P)/I]]*Table156810[[#This Row],[Estimated Servings Annual]]</f>
        <v>#DIV/0!</v>
      </c>
    </row>
    <row r="10" spans="1:23" x14ac:dyDescent="0.25">
      <c r="A10" s="38" t="s">
        <v>72</v>
      </c>
      <c r="B10" s="43" t="s">
        <v>110</v>
      </c>
      <c r="C10" s="7" t="s">
        <v>13</v>
      </c>
      <c r="D10" s="7"/>
      <c r="E10" s="7"/>
      <c r="F10" s="7"/>
      <c r="G10" s="7"/>
      <c r="H10" s="7"/>
      <c r="I10" s="7"/>
      <c r="J10" s="93">
        <v>500000</v>
      </c>
      <c r="K10" s="7"/>
      <c r="L10" s="7"/>
      <c r="M10" s="7"/>
      <c r="N10" s="7"/>
      <c r="O10" s="7"/>
      <c r="P10" s="7"/>
      <c r="Q10" s="110"/>
      <c r="R10" s="105">
        <f>(Table156810[[#This Row],[Commercial Bid Price per case for NOI ($)]]-Table156810[[#This Row],[Pass-Thru Value per case ($)]])+Table156810[[#This Row],[Region 1: Fixed Fee Per Case ($)]]</f>
        <v>0</v>
      </c>
      <c r="S10" s="18" t="e">
        <f>(Table156810[[#This Row],[Commercial Bid Price per case for NOI ($)]]+Table156810[[#This Row],[Region 1: Fixed Fee Per Case ($)]])/Table156810[[#This Row],['# of CN Servings per case]]</f>
        <v>#DIV/0!</v>
      </c>
      <c r="T10" s="118" t="e">
        <f>Table156810[[#This Row],[Total Cost Per Serving (N+O)/I]]*Table156810[[#This Row],[Estimated Servings Annual]]</f>
        <v>#DIV/0!</v>
      </c>
      <c r="U10" s="105">
        <f>(Table156810[[#This Row],[Commercial Bid Price per case for NOI ($)]]-Table156810[[#This Row],[Pass-Thru Value per case ($)]])+Table156810[[#This Row],[Region 2: Fixed Fee Per Case ($)]]</f>
        <v>0</v>
      </c>
      <c r="V10" s="19" t="e">
        <f>(Table156810[[#This Row],[Commercial Bid Price per case for NOI ($)]]+Table156810[[#This Row],[Region 2: Fixed Fee Per Case ($)]])/Table156810[[#This Row],['# of CN Servings per case]]</f>
        <v>#DIV/0!</v>
      </c>
      <c r="W10" s="20" t="e">
        <f>Table156810[[#This Row],[Total Cost Per Serving (N+P)/I]]*Table156810[[#This Row],[Estimated Servings Annual]]</f>
        <v>#DIV/0!</v>
      </c>
    </row>
    <row r="11" spans="1:23" x14ac:dyDescent="0.25">
      <c r="A11" s="38" t="s">
        <v>72</v>
      </c>
      <c r="B11" s="43" t="s">
        <v>110</v>
      </c>
      <c r="C11" s="7" t="s">
        <v>13</v>
      </c>
      <c r="D11" s="7"/>
      <c r="E11" s="7"/>
      <c r="F11" s="7"/>
      <c r="G11" s="7"/>
      <c r="H11" s="7"/>
      <c r="I11" s="7"/>
      <c r="J11" s="93">
        <v>500000</v>
      </c>
      <c r="K11" s="7"/>
      <c r="L11" s="7"/>
      <c r="M11" s="7"/>
      <c r="N11" s="7"/>
      <c r="O11" s="7"/>
      <c r="P11" s="7"/>
      <c r="Q11" s="110"/>
      <c r="R11" s="105">
        <f>(Table156810[[#This Row],[Commercial Bid Price per case for NOI ($)]]-Table156810[[#This Row],[Pass-Thru Value per case ($)]])+Table156810[[#This Row],[Region 1: Fixed Fee Per Case ($)]]</f>
        <v>0</v>
      </c>
      <c r="S11" s="18" t="e">
        <f>(Table156810[[#This Row],[Commercial Bid Price per case for NOI ($)]]+Table156810[[#This Row],[Region 1: Fixed Fee Per Case ($)]])/Table156810[[#This Row],['# of CN Servings per case]]</f>
        <v>#DIV/0!</v>
      </c>
      <c r="T11" s="118" t="e">
        <f>Table156810[[#This Row],[Total Cost Per Serving (N+O)/I]]*Table156810[[#This Row],[Estimated Servings Annual]]</f>
        <v>#DIV/0!</v>
      </c>
      <c r="U11" s="105">
        <f>(Table156810[[#This Row],[Commercial Bid Price per case for NOI ($)]]-Table156810[[#This Row],[Pass-Thru Value per case ($)]])+Table156810[[#This Row],[Region 2: Fixed Fee Per Case ($)]]</f>
        <v>0</v>
      </c>
      <c r="V11" s="19" t="e">
        <f>(Table156810[[#This Row],[Commercial Bid Price per case for NOI ($)]]+Table156810[[#This Row],[Region 2: Fixed Fee Per Case ($)]])/Table156810[[#This Row],['# of CN Servings per case]]</f>
        <v>#DIV/0!</v>
      </c>
      <c r="W11" s="20" t="e">
        <f>Table156810[[#This Row],[Total Cost Per Serving (N+P)/I]]*Table156810[[#This Row],[Estimated Servings Annual]]</f>
        <v>#DIV/0!</v>
      </c>
    </row>
    <row r="12" spans="1:23" ht="15.75" thickBot="1" x14ac:dyDescent="0.3">
      <c r="A12" s="38" t="s">
        <v>72</v>
      </c>
      <c r="B12" s="44" t="s">
        <v>110</v>
      </c>
      <c r="C12" s="9" t="s">
        <v>13</v>
      </c>
      <c r="D12" s="9"/>
      <c r="E12" s="9"/>
      <c r="F12" s="9"/>
      <c r="G12" s="9"/>
      <c r="H12" s="9"/>
      <c r="I12" s="9"/>
      <c r="J12" s="94">
        <v>500000</v>
      </c>
      <c r="K12" s="9"/>
      <c r="L12" s="9"/>
      <c r="M12" s="9"/>
      <c r="N12" s="9"/>
      <c r="O12" s="9"/>
      <c r="P12" s="9"/>
      <c r="Q12" s="111"/>
      <c r="R12" s="106">
        <f>(Table156810[[#This Row],[Commercial Bid Price per case for NOI ($)]]-Table156810[[#This Row],[Pass-Thru Value per case ($)]])+Table156810[[#This Row],[Region 1: Fixed Fee Per Case ($)]]</f>
        <v>0</v>
      </c>
      <c r="S12" s="21" t="e">
        <f>(Table156810[[#This Row],[Commercial Bid Price per case for NOI ($)]]+Table156810[[#This Row],[Region 1: Fixed Fee Per Case ($)]])/Table156810[[#This Row],['# of CN Servings per case]]</f>
        <v>#DIV/0!</v>
      </c>
      <c r="T12" s="120" t="e">
        <f>Table156810[[#This Row],[Total Cost Per Serving (N+O)/I]]*Table156810[[#This Row],[Estimated Servings Annual]]</f>
        <v>#DIV/0!</v>
      </c>
      <c r="U12" s="106">
        <f>(Table156810[[#This Row],[Commercial Bid Price per case for NOI ($)]]-Table156810[[#This Row],[Pass-Thru Value per case ($)]])+Table156810[[#This Row],[Region 2: Fixed Fee Per Case ($)]]</f>
        <v>0</v>
      </c>
      <c r="V12" s="22" t="e">
        <f>(Table156810[[#This Row],[Commercial Bid Price per case for NOI ($)]]+Table156810[[#This Row],[Region 2: Fixed Fee Per Case ($)]])/Table156810[[#This Row],['# of CN Servings per case]]</f>
        <v>#DIV/0!</v>
      </c>
      <c r="W12" s="23" t="e">
        <f>Table156810[[#This Row],[Total Cost Per Serving (N+P)/I]]*Table156810[[#This Row],[Estimated Servings Annual]]</f>
        <v>#DIV/0!</v>
      </c>
    </row>
    <row r="13" spans="1:23" x14ac:dyDescent="0.25">
      <c r="A13" s="38" t="s">
        <v>72</v>
      </c>
      <c r="B13" s="42" t="s">
        <v>114</v>
      </c>
      <c r="C13" s="3" t="s">
        <v>111</v>
      </c>
      <c r="D13" s="4"/>
      <c r="E13" s="4"/>
      <c r="F13" s="4"/>
      <c r="G13" s="4"/>
      <c r="H13" s="4"/>
      <c r="I13" s="4"/>
      <c r="J13" s="92">
        <v>300000</v>
      </c>
      <c r="K13" s="4"/>
      <c r="L13" s="4"/>
      <c r="M13" s="4"/>
      <c r="N13" s="4"/>
      <c r="O13" s="4"/>
      <c r="P13" s="4"/>
      <c r="Q13" s="109"/>
      <c r="R13" s="104">
        <f>(Table156810[[#This Row],[Commercial Bid Price per case for NOI ($)]]-Table156810[[#This Row],[Pass-Thru Value per case ($)]])+Table156810[[#This Row],[Region 1: Fixed Fee Per Case ($)]]</f>
        <v>0</v>
      </c>
      <c r="S13" s="15" t="e">
        <f>(Table156810[[#This Row],[Commercial Bid Price per case for NOI ($)]]+Table156810[[#This Row],[Region 1: Fixed Fee Per Case ($)]])/Table156810[[#This Row],['# of CN Servings per case]]</f>
        <v>#DIV/0!</v>
      </c>
      <c r="T13" s="115" t="e">
        <f>Table156810[[#This Row],[Total Cost Per Serving (N+O)/I]]*Table156810[[#This Row],[Estimated Servings Annual]]</f>
        <v>#DIV/0!</v>
      </c>
      <c r="U13" s="104">
        <f>(Table156810[[#This Row],[Commercial Bid Price per case for NOI ($)]]-Table156810[[#This Row],[Pass-Thru Value per case ($)]])+Table156810[[#This Row],[Region 2: Fixed Fee Per Case ($)]]</f>
        <v>0</v>
      </c>
      <c r="V13" s="16" t="e">
        <f>(Table156810[[#This Row],[Commercial Bid Price per case for NOI ($)]]+Table156810[[#This Row],[Region 2: Fixed Fee Per Case ($)]])/Table156810[[#This Row],['# of CN Servings per case]]</f>
        <v>#DIV/0!</v>
      </c>
      <c r="W13" s="17" t="e">
        <f>Table156810[[#This Row],[Total Cost Per Serving (N+P)/I]]*Table156810[[#This Row],[Estimated Servings Annual]]</f>
        <v>#DIV/0!</v>
      </c>
    </row>
    <row r="14" spans="1:23" x14ac:dyDescent="0.25">
      <c r="A14" s="38" t="s">
        <v>72</v>
      </c>
      <c r="B14" s="43" t="s">
        <v>114</v>
      </c>
      <c r="C14" s="6" t="s">
        <v>111</v>
      </c>
      <c r="D14" s="7"/>
      <c r="E14" s="7"/>
      <c r="F14" s="7"/>
      <c r="G14" s="7"/>
      <c r="H14" s="7"/>
      <c r="I14" s="7"/>
      <c r="J14" s="93">
        <v>300000</v>
      </c>
      <c r="K14" s="7"/>
      <c r="L14" s="7"/>
      <c r="M14" s="7"/>
      <c r="N14" s="7"/>
      <c r="O14" s="7"/>
      <c r="P14" s="7"/>
      <c r="Q14" s="110"/>
      <c r="R14" s="105">
        <f>(Table156810[[#This Row],[Commercial Bid Price per case for NOI ($)]]-Table156810[[#This Row],[Pass-Thru Value per case ($)]])+Table156810[[#This Row],[Region 1: Fixed Fee Per Case ($)]]</f>
        <v>0</v>
      </c>
      <c r="S14" s="18" t="e">
        <f>(Table156810[[#This Row],[Commercial Bid Price per case for NOI ($)]]+Table156810[[#This Row],[Region 1: Fixed Fee Per Case ($)]])/Table156810[[#This Row],['# of CN Servings per case]]</f>
        <v>#DIV/0!</v>
      </c>
      <c r="T14" s="118" t="e">
        <f>Table156810[[#This Row],[Total Cost Per Serving (N+O)/I]]*Table156810[[#This Row],[Estimated Servings Annual]]</f>
        <v>#DIV/0!</v>
      </c>
      <c r="U14" s="105">
        <f>(Table156810[[#This Row],[Commercial Bid Price per case for NOI ($)]]-Table156810[[#This Row],[Pass-Thru Value per case ($)]])+Table156810[[#This Row],[Region 2: Fixed Fee Per Case ($)]]</f>
        <v>0</v>
      </c>
      <c r="V14" s="19" t="e">
        <f>(Table156810[[#This Row],[Commercial Bid Price per case for NOI ($)]]+Table156810[[#This Row],[Region 2: Fixed Fee Per Case ($)]])/Table156810[[#This Row],['# of CN Servings per case]]</f>
        <v>#DIV/0!</v>
      </c>
      <c r="W14" s="20" t="e">
        <f>Table156810[[#This Row],[Total Cost Per Serving (N+P)/I]]*Table156810[[#This Row],[Estimated Servings Annual]]</f>
        <v>#DIV/0!</v>
      </c>
    </row>
    <row r="15" spans="1:23" x14ac:dyDescent="0.25">
      <c r="A15" s="45" t="s">
        <v>72</v>
      </c>
      <c r="B15" s="61" t="s">
        <v>114</v>
      </c>
      <c r="C15" s="6" t="s">
        <v>112</v>
      </c>
      <c r="D15" s="7"/>
      <c r="E15" s="7"/>
      <c r="F15" s="7"/>
      <c r="G15" s="7"/>
      <c r="H15" s="7"/>
      <c r="I15" s="7"/>
      <c r="J15" s="93">
        <v>300000</v>
      </c>
      <c r="K15" s="7"/>
      <c r="L15" s="7"/>
      <c r="M15" s="7"/>
      <c r="N15" s="7"/>
      <c r="O15" s="7"/>
      <c r="P15" s="7"/>
      <c r="Q15" s="110"/>
      <c r="R15" s="105">
        <f>(Table156810[[#This Row],[Commercial Bid Price per case for NOI ($)]]-Table156810[[#This Row],[Pass-Thru Value per case ($)]])+Table156810[[#This Row],[Region 1: Fixed Fee Per Case ($)]]</f>
        <v>0</v>
      </c>
      <c r="S15" s="18" t="e">
        <f>(Table156810[[#This Row],[Commercial Bid Price per case for NOI ($)]]+Table156810[[#This Row],[Region 1: Fixed Fee Per Case ($)]])/Table156810[[#This Row],['# of CN Servings per case]]</f>
        <v>#DIV/0!</v>
      </c>
      <c r="T15" s="118" t="e">
        <f>Table156810[[#This Row],[Total Cost Per Serving (N+O)/I]]*Table156810[[#This Row],[Estimated Servings Annual]]</f>
        <v>#DIV/0!</v>
      </c>
      <c r="U15" s="105">
        <f>(Table156810[[#This Row],[Commercial Bid Price per case for NOI ($)]]-Table156810[[#This Row],[Pass-Thru Value per case ($)]])+Table156810[[#This Row],[Region 2: Fixed Fee Per Case ($)]]</f>
        <v>0</v>
      </c>
      <c r="V15" s="24" t="e">
        <f>(Table156810[[#This Row],[Commercial Bid Price per case for NOI ($)]]+Table156810[[#This Row],[Region 2: Fixed Fee Per Case ($)]])/Table156810[[#This Row],['# of CN Servings per case]]</f>
        <v>#DIV/0!</v>
      </c>
      <c r="W15" s="20" t="e">
        <f>Table156810[[#This Row],[Total Cost Per Serving (N+P)/I]]*Table156810[[#This Row],[Estimated Servings Annual]]</f>
        <v>#DIV/0!</v>
      </c>
    </row>
    <row r="16" spans="1:23" x14ac:dyDescent="0.25">
      <c r="A16" s="45" t="s">
        <v>72</v>
      </c>
      <c r="B16" s="61" t="s">
        <v>114</v>
      </c>
      <c r="C16" s="6" t="s">
        <v>112</v>
      </c>
      <c r="D16" s="7"/>
      <c r="E16" s="7"/>
      <c r="F16" s="7"/>
      <c r="G16" s="7"/>
      <c r="H16" s="7"/>
      <c r="I16" s="7"/>
      <c r="J16" s="93">
        <v>300000</v>
      </c>
      <c r="K16" s="7"/>
      <c r="L16" s="7"/>
      <c r="M16" s="7"/>
      <c r="N16" s="7"/>
      <c r="O16" s="7"/>
      <c r="P16" s="7"/>
      <c r="Q16" s="110"/>
      <c r="R16" s="105">
        <f>(Table156810[[#This Row],[Commercial Bid Price per case for NOI ($)]]-Table156810[[#This Row],[Pass-Thru Value per case ($)]])+Table156810[[#This Row],[Region 1: Fixed Fee Per Case ($)]]</f>
        <v>0</v>
      </c>
      <c r="S16" s="18" t="e">
        <f>(Table156810[[#This Row],[Commercial Bid Price per case for NOI ($)]]+Table156810[[#This Row],[Region 1: Fixed Fee Per Case ($)]])/Table156810[[#This Row],['# of CN Servings per case]]</f>
        <v>#DIV/0!</v>
      </c>
      <c r="T16" s="118" t="e">
        <f>Table156810[[#This Row],[Total Cost Per Serving (N+O)/I]]*Table156810[[#This Row],[Estimated Servings Annual]]</f>
        <v>#DIV/0!</v>
      </c>
      <c r="U16" s="105">
        <f>(Table156810[[#This Row],[Commercial Bid Price per case for NOI ($)]]-Table156810[[#This Row],[Pass-Thru Value per case ($)]])+Table156810[[#This Row],[Region 2: Fixed Fee Per Case ($)]]</f>
        <v>0</v>
      </c>
      <c r="V16" s="24" t="e">
        <f>(Table156810[[#This Row],[Commercial Bid Price per case for NOI ($)]]+Table156810[[#This Row],[Region 2: Fixed Fee Per Case ($)]])/Table156810[[#This Row],['# of CN Servings per case]]</f>
        <v>#DIV/0!</v>
      </c>
      <c r="W16" s="20" t="e">
        <f>Table156810[[#This Row],[Total Cost Per Serving (N+P)/I]]*Table156810[[#This Row],[Estimated Servings Annual]]</f>
        <v>#DIV/0!</v>
      </c>
    </row>
    <row r="17" spans="1:23" x14ac:dyDescent="0.25">
      <c r="A17" s="38" t="s">
        <v>72</v>
      </c>
      <c r="B17" s="43" t="s">
        <v>114</v>
      </c>
      <c r="C17" s="6" t="s">
        <v>113</v>
      </c>
      <c r="D17" s="7"/>
      <c r="E17" s="7"/>
      <c r="F17" s="7"/>
      <c r="G17" s="7"/>
      <c r="H17" s="7"/>
      <c r="I17" s="7"/>
      <c r="J17" s="93">
        <v>300000</v>
      </c>
      <c r="K17" s="7"/>
      <c r="L17" s="7"/>
      <c r="M17" s="7"/>
      <c r="N17" s="7"/>
      <c r="O17" s="7"/>
      <c r="P17" s="7"/>
      <c r="Q17" s="110"/>
      <c r="R17" s="105">
        <f>(Table156810[[#This Row],[Commercial Bid Price per case for NOI ($)]]-Table156810[[#This Row],[Pass-Thru Value per case ($)]])+Table156810[[#This Row],[Region 1: Fixed Fee Per Case ($)]]</f>
        <v>0</v>
      </c>
      <c r="S17" s="18" t="e">
        <f>(Table156810[[#This Row],[Commercial Bid Price per case for NOI ($)]]+Table156810[[#This Row],[Region 1: Fixed Fee Per Case ($)]])/Table156810[[#This Row],['# of CN Servings per case]]</f>
        <v>#DIV/0!</v>
      </c>
      <c r="T17" s="118" t="e">
        <f>Table156810[[#This Row],[Total Cost Per Serving (N+O)/I]]*Table156810[[#This Row],[Estimated Servings Annual]]</f>
        <v>#DIV/0!</v>
      </c>
      <c r="U17" s="105">
        <f>(Table156810[[#This Row],[Commercial Bid Price per case for NOI ($)]]-Table156810[[#This Row],[Pass-Thru Value per case ($)]])+Table156810[[#This Row],[Region 2: Fixed Fee Per Case ($)]]</f>
        <v>0</v>
      </c>
      <c r="V17" s="19" t="e">
        <f>(Table156810[[#This Row],[Commercial Bid Price per case for NOI ($)]]+Table156810[[#This Row],[Region 2: Fixed Fee Per Case ($)]])/Table156810[[#This Row],['# of CN Servings per case]]</f>
        <v>#DIV/0!</v>
      </c>
      <c r="W17" s="20" t="e">
        <f>Table156810[[#This Row],[Total Cost Per Serving (N+P)/I]]*Table156810[[#This Row],[Estimated Servings Annual]]</f>
        <v>#DIV/0!</v>
      </c>
    </row>
    <row r="18" spans="1:23" x14ac:dyDescent="0.25">
      <c r="A18" s="38" t="s">
        <v>72</v>
      </c>
      <c r="B18" s="43" t="s">
        <v>114</v>
      </c>
      <c r="C18" s="6" t="s">
        <v>113</v>
      </c>
      <c r="D18" s="7"/>
      <c r="E18" s="7"/>
      <c r="F18" s="7"/>
      <c r="G18" s="7"/>
      <c r="H18" s="7"/>
      <c r="I18" s="7"/>
      <c r="J18" s="93">
        <v>300000</v>
      </c>
      <c r="K18" s="7"/>
      <c r="L18" s="7"/>
      <c r="M18" s="7"/>
      <c r="N18" s="7"/>
      <c r="O18" s="7"/>
      <c r="P18" s="7"/>
      <c r="Q18" s="110"/>
      <c r="R18" s="105">
        <f>(Table156810[[#This Row],[Commercial Bid Price per case for NOI ($)]]-Table156810[[#This Row],[Pass-Thru Value per case ($)]])+Table156810[[#This Row],[Region 1: Fixed Fee Per Case ($)]]</f>
        <v>0</v>
      </c>
      <c r="S18" s="18" t="e">
        <f>(Table156810[[#This Row],[Commercial Bid Price per case for NOI ($)]]+Table156810[[#This Row],[Region 1: Fixed Fee Per Case ($)]])/Table156810[[#This Row],['# of CN Servings per case]]</f>
        <v>#DIV/0!</v>
      </c>
      <c r="T18" s="118" t="e">
        <f>Table156810[[#This Row],[Total Cost Per Serving (N+O)/I]]*Table156810[[#This Row],[Estimated Servings Annual]]</f>
        <v>#DIV/0!</v>
      </c>
      <c r="U18" s="105">
        <f>(Table156810[[#This Row],[Commercial Bid Price per case for NOI ($)]]-Table156810[[#This Row],[Pass-Thru Value per case ($)]])+Table156810[[#This Row],[Region 2: Fixed Fee Per Case ($)]]</f>
        <v>0</v>
      </c>
      <c r="V18" s="19" t="e">
        <f>(Table156810[[#This Row],[Commercial Bid Price per case for NOI ($)]]+Table156810[[#This Row],[Region 2: Fixed Fee Per Case ($)]])/Table156810[[#This Row],['# of CN Servings per case]]</f>
        <v>#DIV/0!</v>
      </c>
      <c r="W18" s="20" t="e">
        <f>Table156810[[#This Row],[Total Cost Per Serving (N+P)/I]]*Table156810[[#This Row],[Estimated Servings Annual]]</f>
        <v>#DIV/0!</v>
      </c>
    </row>
    <row r="19" spans="1:23" x14ac:dyDescent="0.25">
      <c r="A19" s="38" t="s">
        <v>72</v>
      </c>
      <c r="B19" s="43" t="s">
        <v>114</v>
      </c>
      <c r="C19" s="7" t="s">
        <v>13</v>
      </c>
      <c r="D19" s="7"/>
      <c r="E19" s="7"/>
      <c r="F19" s="7"/>
      <c r="G19" s="7"/>
      <c r="H19" s="7"/>
      <c r="I19" s="7"/>
      <c r="J19" s="93">
        <v>300000</v>
      </c>
      <c r="K19" s="7"/>
      <c r="L19" s="7"/>
      <c r="M19" s="7"/>
      <c r="N19" s="7"/>
      <c r="O19" s="7"/>
      <c r="P19" s="7"/>
      <c r="Q19" s="110"/>
      <c r="R19" s="105">
        <f>(Table156810[[#This Row],[Commercial Bid Price per case for NOI ($)]]-Table156810[[#This Row],[Pass-Thru Value per case ($)]])+Table156810[[#This Row],[Region 1: Fixed Fee Per Case ($)]]</f>
        <v>0</v>
      </c>
      <c r="S19" s="18" t="e">
        <f>(Table156810[[#This Row],[Commercial Bid Price per case for NOI ($)]]+Table156810[[#This Row],[Region 1: Fixed Fee Per Case ($)]])/Table156810[[#This Row],['# of CN Servings per case]]</f>
        <v>#DIV/0!</v>
      </c>
      <c r="T19" s="118" t="e">
        <f>Table156810[[#This Row],[Total Cost Per Serving (N+O)/I]]*Table156810[[#This Row],[Estimated Servings Annual]]</f>
        <v>#DIV/0!</v>
      </c>
      <c r="U19" s="105">
        <f>(Table156810[[#This Row],[Commercial Bid Price per case for NOI ($)]]-Table156810[[#This Row],[Pass-Thru Value per case ($)]])+Table156810[[#This Row],[Region 2: Fixed Fee Per Case ($)]]</f>
        <v>0</v>
      </c>
      <c r="V19" s="19" t="e">
        <f>(Table156810[[#This Row],[Commercial Bid Price per case for NOI ($)]]+Table156810[[#This Row],[Region 2: Fixed Fee Per Case ($)]])/Table156810[[#This Row],['# of CN Servings per case]]</f>
        <v>#DIV/0!</v>
      </c>
      <c r="W19" s="20" t="e">
        <f>Table156810[[#This Row],[Total Cost Per Serving (N+P)/I]]*Table156810[[#This Row],[Estimated Servings Annual]]</f>
        <v>#DIV/0!</v>
      </c>
    </row>
    <row r="20" spans="1:23" x14ac:dyDescent="0.25">
      <c r="A20" s="38" t="s">
        <v>72</v>
      </c>
      <c r="B20" s="43" t="s">
        <v>114</v>
      </c>
      <c r="C20" s="7" t="s">
        <v>13</v>
      </c>
      <c r="D20" s="7"/>
      <c r="E20" s="7"/>
      <c r="F20" s="7"/>
      <c r="G20" s="7"/>
      <c r="H20" s="7"/>
      <c r="I20" s="7"/>
      <c r="J20" s="93">
        <v>300000</v>
      </c>
      <c r="K20" s="7"/>
      <c r="L20" s="7"/>
      <c r="M20" s="7"/>
      <c r="N20" s="7"/>
      <c r="O20" s="7"/>
      <c r="P20" s="7"/>
      <c r="Q20" s="110"/>
      <c r="R20" s="105">
        <f>(Table156810[[#This Row],[Commercial Bid Price per case for NOI ($)]]-Table156810[[#This Row],[Pass-Thru Value per case ($)]])+Table156810[[#This Row],[Region 1: Fixed Fee Per Case ($)]]</f>
        <v>0</v>
      </c>
      <c r="S20" s="18" t="e">
        <f>(Table156810[[#This Row],[Commercial Bid Price per case for NOI ($)]]+Table156810[[#This Row],[Region 1: Fixed Fee Per Case ($)]])/Table156810[[#This Row],['# of CN Servings per case]]</f>
        <v>#DIV/0!</v>
      </c>
      <c r="T20" s="118" t="e">
        <f>Table156810[[#This Row],[Total Cost Per Serving (N+O)/I]]*Table156810[[#This Row],[Estimated Servings Annual]]</f>
        <v>#DIV/0!</v>
      </c>
      <c r="U20" s="105">
        <f>(Table156810[[#This Row],[Commercial Bid Price per case for NOI ($)]]-Table156810[[#This Row],[Pass-Thru Value per case ($)]])+Table156810[[#This Row],[Region 2: Fixed Fee Per Case ($)]]</f>
        <v>0</v>
      </c>
      <c r="V20" s="19" t="e">
        <f>(Table156810[[#This Row],[Commercial Bid Price per case for NOI ($)]]+Table156810[[#This Row],[Region 2: Fixed Fee Per Case ($)]])/Table156810[[#This Row],['# of CN Servings per case]]</f>
        <v>#DIV/0!</v>
      </c>
      <c r="W20" s="20" t="e">
        <f>Table156810[[#This Row],[Total Cost Per Serving (N+P)/I]]*Table156810[[#This Row],[Estimated Servings Annual]]</f>
        <v>#DIV/0!</v>
      </c>
    </row>
    <row r="21" spans="1:23" x14ac:dyDescent="0.25">
      <c r="A21" s="38" t="s">
        <v>72</v>
      </c>
      <c r="B21" s="43" t="s">
        <v>114</v>
      </c>
      <c r="C21" s="7" t="s">
        <v>13</v>
      </c>
      <c r="D21" s="7"/>
      <c r="E21" s="7"/>
      <c r="F21" s="7"/>
      <c r="G21" s="7"/>
      <c r="H21" s="7"/>
      <c r="I21" s="7"/>
      <c r="J21" s="93">
        <v>300000</v>
      </c>
      <c r="K21" s="7"/>
      <c r="L21" s="7"/>
      <c r="M21" s="7"/>
      <c r="N21" s="7"/>
      <c r="O21" s="7"/>
      <c r="P21" s="7"/>
      <c r="Q21" s="110"/>
      <c r="R21" s="105">
        <f>(Table156810[[#This Row],[Commercial Bid Price per case for NOI ($)]]-Table156810[[#This Row],[Pass-Thru Value per case ($)]])+Table156810[[#This Row],[Region 1: Fixed Fee Per Case ($)]]</f>
        <v>0</v>
      </c>
      <c r="S21" s="18" t="e">
        <f>(Table156810[[#This Row],[Commercial Bid Price per case for NOI ($)]]+Table156810[[#This Row],[Region 1: Fixed Fee Per Case ($)]])/Table156810[[#This Row],['# of CN Servings per case]]</f>
        <v>#DIV/0!</v>
      </c>
      <c r="T21" s="118" t="e">
        <f>Table156810[[#This Row],[Total Cost Per Serving (N+O)/I]]*Table156810[[#This Row],[Estimated Servings Annual]]</f>
        <v>#DIV/0!</v>
      </c>
      <c r="U21" s="105">
        <f>(Table156810[[#This Row],[Commercial Bid Price per case for NOI ($)]]-Table156810[[#This Row],[Pass-Thru Value per case ($)]])+Table156810[[#This Row],[Region 2: Fixed Fee Per Case ($)]]</f>
        <v>0</v>
      </c>
      <c r="V21" s="19" t="e">
        <f>(Table156810[[#This Row],[Commercial Bid Price per case for NOI ($)]]+Table156810[[#This Row],[Region 2: Fixed Fee Per Case ($)]])/Table156810[[#This Row],['# of CN Servings per case]]</f>
        <v>#DIV/0!</v>
      </c>
      <c r="W21" s="20" t="e">
        <f>Table156810[[#This Row],[Total Cost Per Serving (N+P)/I]]*Table156810[[#This Row],[Estimated Servings Annual]]</f>
        <v>#DIV/0!</v>
      </c>
    </row>
    <row r="22" spans="1:23" ht="15.75" thickBot="1" x14ac:dyDescent="0.3">
      <c r="A22" s="38" t="s">
        <v>72</v>
      </c>
      <c r="B22" s="44" t="s">
        <v>114</v>
      </c>
      <c r="C22" s="9" t="s">
        <v>13</v>
      </c>
      <c r="D22" s="9"/>
      <c r="E22" s="9"/>
      <c r="F22" s="9"/>
      <c r="G22" s="9"/>
      <c r="H22" s="9"/>
      <c r="I22" s="9"/>
      <c r="J22" s="94">
        <v>300000</v>
      </c>
      <c r="K22" s="9"/>
      <c r="L22" s="9"/>
      <c r="M22" s="9"/>
      <c r="N22" s="9"/>
      <c r="O22" s="9"/>
      <c r="P22" s="9"/>
      <c r="Q22" s="111"/>
      <c r="R22" s="106">
        <f>(Table156810[[#This Row],[Commercial Bid Price per case for NOI ($)]]-Table156810[[#This Row],[Pass-Thru Value per case ($)]])+Table156810[[#This Row],[Region 1: Fixed Fee Per Case ($)]]</f>
        <v>0</v>
      </c>
      <c r="S22" s="21" t="e">
        <f>(Table156810[[#This Row],[Commercial Bid Price per case for NOI ($)]]+Table156810[[#This Row],[Region 1: Fixed Fee Per Case ($)]])/Table156810[[#This Row],['# of CN Servings per case]]</f>
        <v>#DIV/0!</v>
      </c>
      <c r="T22" s="120" t="e">
        <f>Table156810[[#This Row],[Total Cost Per Serving (N+O)/I]]*Table156810[[#This Row],[Estimated Servings Annual]]</f>
        <v>#DIV/0!</v>
      </c>
      <c r="U22" s="106">
        <f>(Table156810[[#This Row],[Commercial Bid Price per case for NOI ($)]]-Table156810[[#This Row],[Pass-Thru Value per case ($)]])+Table156810[[#This Row],[Region 2: Fixed Fee Per Case ($)]]</f>
        <v>0</v>
      </c>
      <c r="V22" s="22" t="e">
        <f>(Table156810[[#This Row],[Commercial Bid Price per case for NOI ($)]]+Table156810[[#This Row],[Region 2: Fixed Fee Per Case ($)]])/Table156810[[#This Row],['# of CN Servings per case]]</f>
        <v>#DIV/0!</v>
      </c>
      <c r="W22" s="23" t="e">
        <f>Table156810[[#This Row],[Total Cost Per Serving (N+P)/I]]*Table156810[[#This Row],[Estimated Servings Annual]]</f>
        <v>#DIV/0!</v>
      </c>
    </row>
    <row r="23" spans="1:23" x14ac:dyDescent="0.25">
      <c r="A23" s="38" t="s">
        <v>72</v>
      </c>
      <c r="B23" s="42" t="s">
        <v>115</v>
      </c>
      <c r="C23" s="3" t="s">
        <v>111</v>
      </c>
      <c r="D23" s="4"/>
      <c r="E23" s="4"/>
      <c r="F23" s="4"/>
      <c r="G23" s="4"/>
      <c r="H23" s="4"/>
      <c r="I23" s="4"/>
      <c r="J23" s="92">
        <v>300000</v>
      </c>
      <c r="K23" s="4"/>
      <c r="L23" s="4"/>
      <c r="M23" s="4"/>
      <c r="N23" s="4"/>
      <c r="O23" s="4"/>
      <c r="P23" s="4"/>
      <c r="Q23" s="109"/>
      <c r="R23" s="104">
        <f>(Table156810[[#This Row],[Commercial Bid Price per case for NOI ($)]]-Table156810[[#This Row],[Pass-Thru Value per case ($)]])+Table156810[[#This Row],[Region 1: Fixed Fee Per Case ($)]]</f>
        <v>0</v>
      </c>
      <c r="S23" s="15" t="e">
        <f>(Table156810[[#This Row],[Commercial Bid Price per case for NOI ($)]]+Table156810[[#This Row],[Region 1: Fixed Fee Per Case ($)]])/Table156810[[#This Row],['# of CN Servings per case]]</f>
        <v>#DIV/0!</v>
      </c>
      <c r="T23" s="115" t="e">
        <f>Table156810[[#This Row],[Total Cost Per Serving (N+O)/I]]*Table156810[[#This Row],[Estimated Servings Annual]]</f>
        <v>#DIV/0!</v>
      </c>
      <c r="U23" s="104">
        <f>(Table156810[[#This Row],[Commercial Bid Price per case for NOI ($)]]-Table156810[[#This Row],[Pass-Thru Value per case ($)]])+Table156810[[#This Row],[Region 2: Fixed Fee Per Case ($)]]</f>
        <v>0</v>
      </c>
      <c r="V23" s="16" t="e">
        <f>(Table156810[[#This Row],[Commercial Bid Price per case for NOI ($)]]+Table156810[[#This Row],[Region 2: Fixed Fee Per Case ($)]])/Table156810[[#This Row],['# of CN Servings per case]]</f>
        <v>#DIV/0!</v>
      </c>
      <c r="W23" s="17" t="e">
        <f>Table156810[[#This Row],[Total Cost Per Serving (N+P)/I]]*Table156810[[#This Row],[Estimated Servings Annual]]</f>
        <v>#DIV/0!</v>
      </c>
    </row>
    <row r="24" spans="1:23" x14ac:dyDescent="0.25">
      <c r="A24" s="38" t="s">
        <v>72</v>
      </c>
      <c r="B24" s="43" t="s">
        <v>115</v>
      </c>
      <c r="C24" s="6" t="s">
        <v>111</v>
      </c>
      <c r="D24" s="7"/>
      <c r="E24" s="7"/>
      <c r="F24" s="7"/>
      <c r="G24" s="7"/>
      <c r="H24" s="7"/>
      <c r="I24" s="7"/>
      <c r="J24" s="93">
        <v>300000</v>
      </c>
      <c r="K24" s="7"/>
      <c r="L24" s="7"/>
      <c r="M24" s="7"/>
      <c r="N24" s="7"/>
      <c r="O24" s="7"/>
      <c r="P24" s="7"/>
      <c r="Q24" s="110"/>
      <c r="R24" s="105">
        <f>(Table156810[[#This Row],[Commercial Bid Price per case for NOI ($)]]-Table156810[[#This Row],[Pass-Thru Value per case ($)]])+Table156810[[#This Row],[Region 1: Fixed Fee Per Case ($)]]</f>
        <v>0</v>
      </c>
      <c r="S24" s="18" t="e">
        <f>(Table156810[[#This Row],[Commercial Bid Price per case for NOI ($)]]+Table156810[[#This Row],[Region 1: Fixed Fee Per Case ($)]])/Table156810[[#This Row],['# of CN Servings per case]]</f>
        <v>#DIV/0!</v>
      </c>
      <c r="T24" s="118" t="e">
        <f>Table156810[[#This Row],[Total Cost Per Serving (N+O)/I]]*Table156810[[#This Row],[Estimated Servings Annual]]</f>
        <v>#DIV/0!</v>
      </c>
      <c r="U24" s="105">
        <f>(Table156810[[#This Row],[Commercial Bid Price per case for NOI ($)]]-Table156810[[#This Row],[Pass-Thru Value per case ($)]])+Table156810[[#This Row],[Region 2: Fixed Fee Per Case ($)]]</f>
        <v>0</v>
      </c>
      <c r="V24" s="19" t="e">
        <f>(Table156810[[#This Row],[Commercial Bid Price per case for NOI ($)]]+Table156810[[#This Row],[Region 2: Fixed Fee Per Case ($)]])/Table156810[[#This Row],['# of CN Servings per case]]</f>
        <v>#DIV/0!</v>
      </c>
      <c r="W24" s="20" t="e">
        <f>Table156810[[#This Row],[Total Cost Per Serving (N+P)/I]]*Table156810[[#This Row],[Estimated Servings Annual]]</f>
        <v>#DIV/0!</v>
      </c>
    </row>
    <row r="25" spans="1:23" x14ac:dyDescent="0.25">
      <c r="A25" s="45" t="s">
        <v>72</v>
      </c>
      <c r="B25" s="61" t="s">
        <v>115</v>
      </c>
      <c r="C25" s="6" t="s">
        <v>112</v>
      </c>
      <c r="D25" s="7"/>
      <c r="E25" s="7"/>
      <c r="F25" s="7"/>
      <c r="G25" s="7"/>
      <c r="H25" s="7"/>
      <c r="I25" s="7"/>
      <c r="J25" s="93">
        <v>300000</v>
      </c>
      <c r="K25" s="7"/>
      <c r="L25" s="7"/>
      <c r="M25" s="7"/>
      <c r="N25" s="7"/>
      <c r="O25" s="7"/>
      <c r="P25" s="7"/>
      <c r="Q25" s="110"/>
      <c r="R25" s="105">
        <f>(Table156810[[#This Row],[Commercial Bid Price per case for NOI ($)]]-Table156810[[#This Row],[Pass-Thru Value per case ($)]])+Table156810[[#This Row],[Region 1: Fixed Fee Per Case ($)]]</f>
        <v>0</v>
      </c>
      <c r="S25" s="18" t="e">
        <f>(Table156810[[#This Row],[Commercial Bid Price per case for NOI ($)]]+Table156810[[#This Row],[Region 1: Fixed Fee Per Case ($)]])/Table156810[[#This Row],['# of CN Servings per case]]</f>
        <v>#DIV/0!</v>
      </c>
      <c r="T25" s="118" t="e">
        <f>Table156810[[#This Row],[Total Cost Per Serving (N+O)/I]]*Table156810[[#This Row],[Estimated Servings Annual]]</f>
        <v>#DIV/0!</v>
      </c>
      <c r="U25" s="105">
        <f>(Table156810[[#This Row],[Commercial Bid Price per case for NOI ($)]]-Table156810[[#This Row],[Pass-Thru Value per case ($)]])+Table156810[[#This Row],[Region 2: Fixed Fee Per Case ($)]]</f>
        <v>0</v>
      </c>
      <c r="V25" s="24" t="e">
        <f>(Table156810[[#This Row],[Commercial Bid Price per case for NOI ($)]]+Table156810[[#This Row],[Region 2: Fixed Fee Per Case ($)]])/Table156810[[#This Row],['# of CN Servings per case]]</f>
        <v>#DIV/0!</v>
      </c>
      <c r="W25" s="20" t="e">
        <f>Table156810[[#This Row],[Total Cost Per Serving (N+P)/I]]*Table156810[[#This Row],[Estimated Servings Annual]]</f>
        <v>#DIV/0!</v>
      </c>
    </row>
    <row r="26" spans="1:23" x14ac:dyDescent="0.25">
      <c r="A26" s="45" t="s">
        <v>72</v>
      </c>
      <c r="B26" s="61" t="s">
        <v>115</v>
      </c>
      <c r="C26" s="6" t="s">
        <v>112</v>
      </c>
      <c r="D26" s="7"/>
      <c r="E26" s="7"/>
      <c r="F26" s="7"/>
      <c r="G26" s="7"/>
      <c r="H26" s="7"/>
      <c r="I26" s="7"/>
      <c r="J26" s="93">
        <v>300000</v>
      </c>
      <c r="K26" s="7"/>
      <c r="L26" s="7"/>
      <c r="M26" s="7"/>
      <c r="N26" s="7"/>
      <c r="O26" s="7"/>
      <c r="P26" s="7"/>
      <c r="Q26" s="110"/>
      <c r="R26" s="105">
        <f>(Table156810[[#This Row],[Commercial Bid Price per case for NOI ($)]]-Table156810[[#This Row],[Pass-Thru Value per case ($)]])+Table156810[[#This Row],[Region 1: Fixed Fee Per Case ($)]]</f>
        <v>0</v>
      </c>
      <c r="S26" s="18" t="e">
        <f>(Table156810[[#This Row],[Commercial Bid Price per case for NOI ($)]]+Table156810[[#This Row],[Region 1: Fixed Fee Per Case ($)]])/Table156810[[#This Row],['# of CN Servings per case]]</f>
        <v>#DIV/0!</v>
      </c>
      <c r="T26" s="118" t="e">
        <f>Table156810[[#This Row],[Total Cost Per Serving (N+O)/I]]*Table156810[[#This Row],[Estimated Servings Annual]]</f>
        <v>#DIV/0!</v>
      </c>
      <c r="U26" s="105">
        <f>(Table156810[[#This Row],[Commercial Bid Price per case for NOI ($)]]-Table156810[[#This Row],[Pass-Thru Value per case ($)]])+Table156810[[#This Row],[Region 2: Fixed Fee Per Case ($)]]</f>
        <v>0</v>
      </c>
      <c r="V26" s="24" t="e">
        <f>(Table156810[[#This Row],[Commercial Bid Price per case for NOI ($)]]+Table156810[[#This Row],[Region 2: Fixed Fee Per Case ($)]])/Table156810[[#This Row],['# of CN Servings per case]]</f>
        <v>#DIV/0!</v>
      </c>
      <c r="W26" s="20" t="e">
        <f>Table156810[[#This Row],[Total Cost Per Serving (N+P)/I]]*Table156810[[#This Row],[Estimated Servings Annual]]</f>
        <v>#DIV/0!</v>
      </c>
    </row>
    <row r="27" spans="1:23" x14ac:dyDescent="0.25">
      <c r="A27" s="38" t="s">
        <v>72</v>
      </c>
      <c r="B27" s="43" t="s">
        <v>115</v>
      </c>
      <c r="C27" s="6" t="s">
        <v>113</v>
      </c>
      <c r="D27" s="7"/>
      <c r="E27" s="7"/>
      <c r="F27" s="7"/>
      <c r="G27" s="7"/>
      <c r="H27" s="7"/>
      <c r="I27" s="7"/>
      <c r="J27" s="93">
        <v>300000</v>
      </c>
      <c r="K27" s="7"/>
      <c r="L27" s="7"/>
      <c r="M27" s="7"/>
      <c r="N27" s="7"/>
      <c r="O27" s="7"/>
      <c r="P27" s="7"/>
      <c r="Q27" s="110"/>
      <c r="R27" s="105">
        <f>(Table156810[[#This Row],[Commercial Bid Price per case for NOI ($)]]-Table156810[[#This Row],[Pass-Thru Value per case ($)]])+Table156810[[#This Row],[Region 1: Fixed Fee Per Case ($)]]</f>
        <v>0</v>
      </c>
      <c r="S27" s="18" t="e">
        <f>(Table156810[[#This Row],[Commercial Bid Price per case for NOI ($)]]+Table156810[[#This Row],[Region 1: Fixed Fee Per Case ($)]])/Table156810[[#This Row],['# of CN Servings per case]]</f>
        <v>#DIV/0!</v>
      </c>
      <c r="T27" s="118" t="e">
        <f>Table156810[[#This Row],[Total Cost Per Serving (N+O)/I]]*Table156810[[#This Row],[Estimated Servings Annual]]</f>
        <v>#DIV/0!</v>
      </c>
      <c r="U27" s="105">
        <f>(Table156810[[#This Row],[Commercial Bid Price per case for NOI ($)]]-Table156810[[#This Row],[Pass-Thru Value per case ($)]])+Table156810[[#This Row],[Region 2: Fixed Fee Per Case ($)]]</f>
        <v>0</v>
      </c>
      <c r="V27" s="19" t="e">
        <f>(Table156810[[#This Row],[Commercial Bid Price per case for NOI ($)]]+Table156810[[#This Row],[Region 2: Fixed Fee Per Case ($)]])/Table156810[[#This Row],['# of CN Servings per case]]</f>
        <v>#DIV/0!</v>
      </c>
      <c r="W27" s="20" t="e">
        <f>Table156810[[#This Row],[Total Cost Per Serving (N+P)/I]]*Table156810[[#This Row],[Estimated Servings Annual]]</f>
        <v>#DIV/0!</v>
      </c>
    </row>
    <row r="28" spans="1:23" x14ac:dyDescent="0.25">
      <c r="A28" s="38" t="s">
        <v>72</v>
      </c>
      <c r="B28" s="43" t="s">
        <v>115</v>
      </c>
      <c r="C28" s="6" t="s">
        <v>113</v>
      </c>
      <c r="D28" s="7"/>
      <c r="E28" s="7"/>
      <c r="F28" s="7"/>
      <c r="G28" s="7"/>
      <c r="H28" s="7"/>
      <c r="I28" s="7"/>
      <c r="J28" s="93">
        <v>300000</v>
      </c>
      <c r="K28" s="7"/>
      <c r="L28" s="7"/>
      <c r="M28" s="7"/>
      <c r="N28" s="7"/>
      <c r="O28" s="7"/>
      <c r="P28" s="7"/>
      <c r="Q28" s="110"/>
      <c r="R28" s="105">
        <f>(Table156810[[#This Row],[Commercial Bid Price per case for NOI ($)]]-Table156810[[#This Row],[Pass-Thru Value per case ($)]])+Table156810[[#This Row],[Region 1: Fixed Fee Per Case ($)]]</f>
        <v>0</v>
      </c>
      <c r="S28" s="18" t="e">
        <f>(Table156810[[#This Row],[Commercial Bid Price per case for NOI ($)]]+Table156810[[#This Row],[Region 1: Fixed Fee Per Case ($)]])/Table156810[[#This Row],['# of CN Servings per case]]</f>
        <v>#DIV/0!</v>
      </c>
      <c r="T28" s="118" t="e">
        <f>Table156810[[#This Row],[Total Cost Per Serving (N+O)/I]]*Table156810[[#This Row],[Estimated Servings Annual]]</f>
        <v>#DIV/0!</v>
      </c>
      <c r="U28" s="105">
        <f>(Table156810[[#This Row],[Commercial Bid Price per case for NOI ($)]]-Table156810[[#This Row],[Pass-Thru Value per case ($)]])+Table156810[[#This Row],[Region 2: Fixed Fee Per Case ($)]]</f>
        <v>0</v>
      </c>
      <c r="V28" s="19" t="e">
        <f>(Table156810[[#This Row],[Commercial Bid Price per case for NOI ($)]]+Table156810[[#This Row],[Region 2: Fixed Fee Per Case ($)]])/Table156810[[#This Row],['# of CN Servings per case]]</f>
        <v>#DIV/0!</v>
      </c>
      <c r="W28" s="20" t="e">
        <f>Table156810[[#This Row],[Total Cost Per Serving (N+P)/I]]*Table156810[[#This Row],[Estimated Servings Annual]]</f>
        <v>#DIV/0!</v>
      </c>
    </row>
    <row r="29" spans="1:23" x14ac:dyDescent="0.25">
      <c r="A29" s="38" t="s">
        <v>72</v>
      </c>
      <c r="B29" s="43" t="s">
        <v>115</v>
      </c>
      <c r="C29" s="7" t="s">
        <v>13</v>
      </c>
      <c r="D29" s="7"/>
      <c r="E29" s="7"/>
      <c r="F29" s="7"/>
      <c r="G29" s="7"/>
      <c r="H29" s="7"/>
      <c r="I29" s="7"/>
      <c r="J29" s="93">
        <v>300000</v>
      </c>
      <c r="K29" s="7"/>
      <c r="L29" s="7"/>
      <c r="M29" s="7"/>
      <c r="N29" s="7"/>
      <c r="O29" s="7"/>
      <c r="P29" s="7"/>
      <c r="Q29" s="110"/>
      <c r="R29" s="105">
        <f>(Table156810[[#This Row],[Commercial Bid Price per case for NOI ($)]]-Table156810[[#This Row],[Pass-Thru Value per case ($)]])+Table156810[[#This Row],[Region 1: Fixed Fee Per Case ($)]]</f>
        <v>0</v>
      </c>
      <c r="S29" s="18" t="e">
        <f>(Table156810[[#This Row],[Commercial Bid Price per case for NOI ($)]]+Table156810[[#This Row],[Region 1: Fixed Fee Per Case ($)]])/Table156810[[#This Row],['# of CN Servings per case]]</f>
        <v>#DIV/0!</v>
      </c>
      <c r="T29" s="118" t="e">
        <f>Table156810[[#This Row],[Total Cost Per Serving (N+O)/I]]*Table156810[[#This Row],[Estimated Servings Annual]]</f>
        <v>#DIV/0!</v>
      </c>
      <c r="U29" s="105">
        <f>(Table156810[[#This Row],[Commercial Bid Price per case for NOI ($)]]-Table156810[[#This Row],[Pass-Thru Value per case ($)]])+Table156810[[#This Row],[Region 2: Fixed Fee Per Case ($)]]</f>
        <v>0</v>
      </c>
      <c r="V29" s="19" t="e">
        <f>(Table156810[[#This Row],[Commercial Bid Price per case for NOI ($)]]+Table156810[[#This Row],[Region 2: Fixed Fee Per Case ($)]])/Table156810[[#This Row],['# of CN Servings per case]]</f>
        <v>#DIV/0!</v>
      </c>
      <c r="W29" s="20" t="e">
        <f>Table156810[[#This Row],[Total Cost Per Serving (N+P)/I]]*Table156810[[#This Row],[Estimated Servings Annual]]</f>
        <v>#DIV/0!</v>
      </c>
    </row>
    <row r="30" spans="1:23" x14ac:dyDescent="0.25">
      <c r="A30" s="38" t="s">
        <v>72</v>
      </c>
      <c r="B30" s="43" t="s">
        <v>115</v>
      </c>
      <c r="C30" s="7" t="s">
        <v>13</v>
      </c>
      <c r="D30" s="7"/>
      <c r="E30" s="7"/>
      <c r="F30" s="7"/>
      <c r="G30" s="7"/>
      <c r="H30" s="7"/>
      <c r="I30" s="7"/>
      <c r="J30" s="93">
        <v>300000</v>
      </c>
      <c r="K30" s="7"/>
      <c r="L30" s="7"/>
      <c r="M30" s="7"/>
      <c r="N30" s="7"/>
      <c r="O30" s="7"/>
      <c r="P30" s="7"/>
      <c r="Q30" s="110"/>
      <c r="R30" s="105">
        <f>(Table156810[[#This Row],[Commercial Bid Price per case for NOI ($)]]-Table156810[[#This Row],[Pass-Thru Value per case ($)]])+Table156810[[#This Row],[Region 1: Fixed Fee Per Case ($)]]</f>
        <v>0</v>
      </c>
      <c r="S30" s="18" t="e">
        <f>(Table156810[[#This Row],[Commercial Bid Price per case for NOI ($)]]+Table156810[[#This Row],[Region 1: Fixed Fee Per Case ($)]])/Table156810[[#This Row],['# of CN Servings per case]]</f>
        <v>#DIV/0!</v>
      </c>
      <c r="T30" s="118" t="e">
        <f>Table156810[[#This Row],[Total Cost Per Serving (N+O)/I]]*Table156810[[#This Row],[Estimated Servings Annual]]</f>
        <v>#DIV/0!</v>
      </c>
      <c r="U30" s="105">
        <f>(Table156810[[#This Row],[Commercial Bid Price per case for NOI ($)]]-Table156810[[#This Row],[Pass-Thru Value per case ($)]])+Table156810[[#This Row],[Region 2: Fixed Fee Per Case ($)]]</f>
        <v>0</v>
      </c>
      <c r="V30" s="19" t="e">
        <f>(Table156810[[#This Row],[Commercial Bid Price per case for NOI ($)]]+Table156810[[#This Row],[Region 2: Fixed Fee Per Case ($)]])/Table156810[[#This Row],['# of CN Servings per case]]</f>
        <v>#DIV/0!</v>
      </c>
      <c r="W30" s="20" t="e">
        <f>Table156810[[#This Row],[Total Cost Per Serving (N+P)/I]]*Table156810[[#This Row],[Estimated Servings Annual]]</f>
        <v>#DIV/0!</v>
      </c>
    </row>
    <row r="31" spans="1:23" x14ac:dyDescent="0.25">
      <c r="A31" s="38" t="s">
        <v>72</v>
      </c>
      <c r="B31" s="43" t="s">
        <v>115</v>
      </c>
      <c r="C31" s="7" t="s">
        <v>13</v>
      </c>
      <c r="D31" s="7"/>
      <c r="E31" s="7"/>
      <c r="F31" s="7"/>
      <c r="G31" s="7"/>
      <c r="H31" s="7"/>
      <c r="I31" s="7"/>
      <c r="J31" s="93">
        <v>300000</v>
      </c>
      <c r="K31" s="7"/>
      <c r="L31" s="7"/>
      <c r="M31" s="7"/>
      <c r="N31" s="7"/>
      <c r="O31" s="7"/>
      <c r="P31" s="7"/>
      <c r="Q31" s="110"/>
      <c r="R31" s="105">
        <f>(Table156810[[#This Row],[Commercial Bid Price per case for NOI ($)]]-Table156810[[#This Row],[Pass-Thru Value per case ($)]])+Table156810[[#This Row],[Region 1: Fixed Fee Per Case ($)]]</f>
        <v>0</v>
      </c>
      <c r="S31" s="18" t="e">
        <f>(Table156810[[#This Row],[Commercial Bid Price per case for NOI ($)]]+Table156810[[#This Row],[Region 1: Fixed Fee Per Case ($)]])/Table156810[[#This Row],['# of CN Servings per case]]</f>
        <v>#DIV/0!</v>
      </c>
      <c r="T31" s="118" t="e">
        <f>Table156810[[#This Row],[Total Cost Per Serving (N+O)/I]]*Table156810[[#This Row],[Estimated Servings Annual]]</f>
        <v>#DIV/0!</v>
      </c>
      <c r="U31" s="105">
        <f>(Table156810[[#This Row],[Commercial Bid Price per case for NOI ($)]]-Table156810[[#This Row],[Pass-Thru Value per case ($)]])+Table156810[[#This Row],[Region 2: Fixed Fee Per Case ($)]]</f>
        <v>0</v>
      </c>
      <c r="V31" s="19" t="e">
        <f>(Table156810[[#This Row],[Commercial Bid Price per case for NOI ($)]]+Table156810[[#This Row],[Region 2: Fixed Fee Per Case ($)]])/Table156810[[#This Row],['# of CN Servings per case]]</f>
        <v>#DIV/0!</v>
      </c>
      <c r="W31" s="20" t="e">
        <f>Table156810[[#This Row],[Total Cost Per Serving (N+P)/I]]*Table156810[[#This Row],[Estimated Servings Annual]]</f>
        <v>#DIV/0!</v>
      </c>
    </row>
    <row r="32" spans="1:23" ht="15.75" thickBot="1" x14ac:dyDescent="0.3">
      <c r="A32" s="38" t="s">
        <v>72</v>
      </c>
      <c r="B32" s="44" t="s">
        <v>115</v>
      </c>
      <c r="C32" s="9" t="s">
        <v>13</v>
      </c>
      <c r="D32" s="9"/>
      <c r="E32" s="9"/>
      <c r="F32" s="9"/>
      <c r="G32" s="9"/>
      <c r="H32" s="9"/>
      <c r="I32" s="9"/>
      <c r="J32" s="94">
        <v>300000</v>
      </c>
      <c r="K32" s="9"/>
      <c r="L32" s="9"/>
      <c r="M32" s="9"/>
      <c r="N32" s="9"/>
      <c r="O32" s="9"/>
      <c r="P32" s="9"/>
      <c r="Q32" s="111"/>
      <c r="R32" s="106">
        <f>(Table156810[[#This Row],[Commercial Bid Price per case for NOI ($)]]-Table156810[[#This Row],[Pass-Thru Value per case ($)]])+Table156810[[#This Row],[Region 1: Fixed Fee Per Case ($)]]</f>
        <v>0</v>
      </c>
      <c r="S32" s="21" t="e">
        <f>(Table156810[[#This Row],[Commercial Bid Price per case for NOI ($)]]+Table156810[[#This Row],[Region 1: Fixed Fee Per Case ($)]])/Table156810[[#This Row],['# of CN Servings per case]]</f>
        <v>#DIV/0!</v>
      </c>
      <c r="T32" s="120" t="e">
        <f>Table156810[[#This Row],[Total Cost Per Serving (N+O)/I]]*Table156810[[#This Row],[Estimated Servings Annual]]</f>
        <v>#DIV/0!</v>
      </c>
      <c r="U32" s="106">
        <f>(Table156810[[#This Row],[Commercial Bid Price per case for NOI ($)]]-Table156810[[#This Row],[Pass-Thru Value per case ($)]])+Table156810[[#This Row],[Region 2: Fixed Fee Per Case ($)]]</f>
        <v>0</v>
      </c>
      <c r="V32" s="22" t="e">
        <f>(Table156810[[#This Row],[Commercial Bid Price per case for NOI ($)]]+Table156810[[#This Row],[Region 2: Fixed Fee Per Case ($)]])/Table156810[[#This Row],['# of CN Servings per case]]</f>
        <v>#DIV/0!</v>
      </c>
      <c r="W32" s="23" t="e">
        <f>Table156810[[#This Row],[Total Cost Per Serving (N+P)/I]]*Table156810[[#This Row],[Estimated Servings Annual]]</f>
        <v>#DIV/0!</v>
      </c>
    </row>
    <row r="33" spans="1:23" x14ac:dyDescent="0.25">
      <c r="A33" s="38" t="s">
        <v>72</v>
      </c>
      <c r="B33" s="42" t="s">
        <v>119</v>
      </c>
      <c r="C33" s="3" t="s">
        <v>111</v>
      </c>
      <c r="D33" s="4"/>
      <c r="E33" s="4"/>
      <c r="F33" s="4"/>
      <c r="G33" s="4"/>
      <c r="H33" s="4"/>
      <c r="I33" s="4"/>
      <c r="J33" s="92">
        <v>100000</v>
      </c>
      <c r="K33" s="4"/>
      <c r="L33" s="4"/>
      <c r="M33" s="4"/>
      <c r="N33" s="4"/>
      <c r="O33" s="4"/>
      <c r="P33" s="4"/>
      <c r="Q33" s="109"/>
      <c r="R33" s="104">
        <f>(Table156810[[#This Row],[Commercial Bid Price per case for NOI ($)]]-Table156810[[#This Row],[Pass-Thru Value per case ($)]])+Table156810[[#This Row],[Region 1: Fixed Fee Per Case ($)]]</f>
        <v>0</v>
      </c>
      <c r="S33" s="15" t="e">
        <f>(Table156810[[#This Row],[Commercial Bid Price per case for NOI ($)]]+Table156810[[#This Row],[Region 1: Fixed Fee Per Case ($)]])/Table156810[[#This Row],['# of CN Servings per case]]</f>
        <v>#DIV/0!</v>
      </c>
      <c r="T33" s="115" t="e">
        <f>Table156810[[#This Row],[Total Cost Per Serving (N+O)/I]]*Table156810[[#This Row],[Estimated Servings Annual]]</f>
        <v>#DIV/0!</v>
      </c>
      <c r="U33" s="104">
        <f>(Table156810[[#This Row],[Commercial Bid Price per case for NOI ($)]]-Table156810[[#This Row],[Pass-Thru Value per case ($)]])+Table156810[[#This Row],[Region 2: Fixed Fee Per Case ($)]]</f>
        <v>0</v>
      </c>
      <c r="V33" s="16" t="e">
        <f>(Table156810[[#This Row],[Commercial Bid Price per case for NOI ($)]]+Table156810[[#This Row],[Region 2: Fixed Fee Per Case ($)]])/Table156810[[#This Row],['# of CN Servings per case]]</f>
        <v>#DIV/0!</v>
      </c>
      <c r="W33" s="17" t="e">
        <f>Table156810[[#This Row],[Total Cost Per Serving (N+P)/I]]*Table156810[[#This Row],[Estimated Servings Annual]]</f>
        <v>#DIV/0!</v>
      </c>
    </row>
    <row r="34" spans="1:23" x14ac:dyDescent="0.25">
      <c r="A34" s="38" t="s">
        <v>72</v>
      </c>
      <c r="B34" s="43" t="s">
        <v>119</v>
      </c>
      <c r="C34" s="6" t="s">
        <v>111</v>
      </c>
      <c r="D34" s="7"/>
      <c r="E34" s="7"/>
      <c r="F34" s="7"/>
      <c r="G34" s="7"/>
      <c r="H34" s="7"/>
      <c r="I34" s="7"/>
      <c r="J34" s="93">
        <v>100000</v>
      </c>
      <c r="K34" s="7"/>
      <c r="L34" s="7"/>
      <c r="M34" s="7"/>
      <c r="N34" s="7"/>
      <c r="O34" s="7"/>
      <c r="P34" s="7"/>
      <c r="Q34" s="110"/>
      <c r="R34" s="105">
        <f>(Table156810[[#This Row],[Commercial Bid Price per case for NOI ($)]]-Table156810[[#This Row],[Pass-Thru Value per case ($)]])+Table156810[[#This Row],[Region 1: Fixed Fee Per Case ($)]]</f>
        <v>0</v>
      </c>
      <c r="S34" s="18" t="e">
        <f>(Table156810[[#This Row],[Commercial Bid Price per case for NOI ($)]]+Table156810[[#This Row],[Region 1: Fixed Fee Per Case ($)]])/Table156810[[#This Row],['# of CN Servings per case]]</f>
        <v>#DIV/0!</v>
      </c>
      <c r="T34" s="118" t="e">
        <f>Table156810[[#This Row],[Total Cost Per Serving (N+O)/I]]*Table156810[[#This Row],[Estimated Servings Annual]]</f>
        <v>#DIV/0!</v>
      </c>
      <c r="U34" s="105">
        <f>(Table156810[[#This Row],[Commercial Bid Price per case for NOI ($)]]-Table156810[[#This Row],[Pass-Thru Value per case ($)]])+Table156810[[#This Row],[Region 2: Fixed Fee Per Case ($)]]</f>
        <v>0</v>
      </c>
      <c r="V34" s="19" t="e">
        <f>(Table156810[[#This Row],[Commercial Bid Price per case for NOI ($)]]+Table156810[[#This Row],[Region 2: Fixed Fee Per Case ($)]])/Table156810[[#This Row],['# of CN Servings per case]]</f>
        <v>#DIV/0!</v>
      </c>
      <c r="W34" s="20" t="e">
        <f>Table156810[[#This Row],[Total Cost Per Serving (N+P)/I]]*Table156810[[#This Row],[Estimated Servings Annual]]</f>
        <v>#DIV/0!</v>
      </c>
    </row>
    <row r="35" spans="1:23" x14ac:dyDescent="0.25">
      <c r="A35" s="45" t="s">
        <v>72</v>
      </c>
      <c r="B35" s="61" t="s">
        <v>119</v>
      </c>
      <c r="C35" s="6" t="s">
        <v>112</v>
      </c>
      <c r="D35" s="7"/>
      <c r="E35" s="7"/>
      <c r="F35" s="7"/>
      <c r="G35" s="7"/>
      <c r="H35" s="7"/>
      <c r="I35" s="7"/>
      <c r="J35" s="93">
        <v>100000</v>
      </c>
      <c r="K35" s="7"/>
      <c r="L35" s="7"/>
      <c r="M35" s="7"/>
      <c r="N35" s="7"/>
      <c r="O35" s="7"/>
      <c r="P35" s="7"/>
      <c r="Q35" s="110"/>
      <c r="R35" s="105">
        <f>(Table156810[[#This Row],[Commercial Bid Price per case for NOI ($)]]-Table156810[[#This Row],[Pass-Thru Value per case ($)]])+Table156810[[#This Row],[Region 1: Fixed Fee Per Case ($)]]</f>
        <v>0</v>
      </c>
      <c r="S35" s="18" t="e">
        <f>(Table156810[[#This Row],[Commercial Bid Price per case for NOI ($)]]+Table156810[[#This Row],[Region 1: Fixed Fee Per Case ($)]])/Table156810[[#This Row],['# of CN Servings per case]]</f>
        <v>#DIV/0!</v>
      </c>
      <c r="T35" s="118" t="e">
        <f>Table156810[[#This Row],[Total Cost Per Serving (N+O)/I]]*Table156810[[#This Row],[Estimated Servings Annual]]</f>
        <v>#DIV/0!</v>
      </c>
      <c r="U35" s="105">
        <f>(Table156810[[#This Row],[Commercial Bid Price per case for NOI ($)]]-Table156810[[#This Row],[Pass-Thru Value per case ($)]])+Table156810[[#This Row],[Region 2: Fixed Fee Per Case ($)]]</f>
        <v>0</v>
      </c>
      <c r="V35" s="24" t="e">
        <f>(Table156810[[#This Row],[Commercial Bid Price per case for NOI ($)]]+Table156810[[#This Row],[Region 2: Fixed Fee Per Case ($)]])/Table156810[[#This Row],['# of CN Servings per case]]</f>
        <v>#DIV/0!</v>
      </c>
      <c r="W35" s="20" t="e">
        <f>Table156810[[#This Row],[Total Cost Per Serving (N+P)/I]]*Table156810[[#This Row],[Estimated Servings Annual]]</f>
        <v>#DIV/0!</v>
      </c>
    </row>
    <row r="36" spans="1:23" x14ac:dyDescent="0.25">
      <c r="A36" s="45" t="s">
        <v>72</v>
      </c>
      <c r="B36" s="61" t="s">
        <v>119</v>
      </c>
      <c r="C36" s="6" t="s">
        <v>112</v>
      </c>
      <c r="D36" s="7"/>
      <c r="E36" s="7"/>
      <c r="F36" s="7"/>
      <c r="G36" s="7"/>
      <c r="H36" s="7"/>
      <c r="I36" s="7"/>
      <c r="J36" s="93">
        <v>100000</v>
      </c>
      <c r="K36" s="7"/>
      <c r="L36" s="7"/>
      <c r="M36" s="7"/>
      <c r="N36" s="7"/>
      <c r="O36" s="7"/>
      <c r="P36" s="7"/>
      <c r="Q36" s="110"/>
      <c r="R36" s="105">
        <f>(Table156810[[#This Row],[Commercial Bid Price per case for NOI ($)]]-Table156810[[#This Row],[Pass-Thru Value per case ($)]])+Table156810[[#This Row],[Region 1: Fixed Fee Per Case ($)]]</f>
        <v>0</v>
      </c>
      <c r="S36" s="18" t="e">
        <f>(Table156810[[#This Row],[Commercial Bid Price per case for NOI ($)]]+Table156810[[#This Row],[Region 1: Fixed Fee Per Case ($)]])/Table156810[[#This Row],['# of CN Servings per case]]</f>
        <v>#DIV/0!</v>
      </c>
      <c r="T36" s="118" t="e">
        <f>Table156810[[#This Row],[Total Cost Per Serving (N+O)/I]]*Table156810[[#This Row],[Estimated Servings Annual]]</f>
        <v>#DIV/0!</v>
      </c>
      <c r="U36" s="105">
        <f>(Table156810[[#This Row],[Commercial Bid Price per case for NOI ($)]]-Table156810[[#This Row],[Pass-Thru Value per case ($)]])+Table156810[[#This Row],[Region 2: Fixed Fee Per Case ($)]]</f>
        <v>0</v>
      </c>
      <c r="V36" s="24" t="e">
        <f>(Table156810[[#This Row],[Commercial Bid Price per case for NOI ($)]]+Table156810[[#This Row],[Region 2: Fixed Fee Per Case ($)]])/Table156810[[#This Row],['# of CN Servings per case]]</f>
        <v>#DIV/0!</v>
      </c>
      <c r="W36" s="20" t="e">
        <f>Table156810[[#This Row],[Total Cost Per Serving (N+P)/I]]*Table156810[[#This Row],[Estimated Servings Annual]]</f>
        <v>#DIV/0!</v>
      </c>
    </row>
    <row r="37" spans="1:23" x14ac:dyDescent="0.25">
      <c r="A37" s="38" t="s">
        <v>72</v>
      </c>
      <c r="B37" s="43" t="s">
        <v>119</v>
      </c>
      <c r="C37" s="6" t="s">
        <v>113</v>
      </c>
      <c r="D37" s="7"/>
      <c r="E37" s="7"/>
      <c r="F37" s="7"/>
      <c r="G37" s="7"/>
      <c r="H37" s="7"/>
      <c r="I37" s="7"/>
      <c r="J37" s="93">
        <v>100000</v>
      </c>
      <c r="K37" s="7"/>
      <c r="L37" s="7"/>
      <c r="M37" s="7"/>
      <c r="N37" s="7"/>
      <c r="O37" s="7"/>
      <c r="P37" s="7"/>
      <c r="Q37" s="110"/>
      <c r="R37" s="105">
        <f>(Table156810[[#This Row],[Commercial Bid Price per case for NOI ($)]]-Table156810[[#This Row],[Pass-Thru Value per case ($)]])+Table156810[[#This Row],[Region 1: Fixed Fee Per Case ($)]]</f>
        <v>0</v>
      </c>
      <c r="S37" s="18" t="e">
        <f>(Table156810[[#This Row],[Commercial Bid Price per case for NOI ($)]]+Table156810[[#This Row],[Region 1: Fixed Fee Per Case ($)]])/Table156810[[#This Row],['# of CN Servings per case]]</f>
        <v>#DIV/0!</v>
      </c>
      <c r="T37" s="118" t="e">
        <f>Table156810[[#This Row],[Total Cost Per Serving (N+O)/I]]*Table156810[[#This Row],[Estimated Servings Annual]]</f>
        <v>#DIV/0!</v>
      </c>
      <c r="U37" s="105">
        <f>(Table156810[[#This Row],[Commercial Bid Price per case for NOI ($)]]-Table156810[[#This Row],[Pass-Thru Value per case ($)]])+Table156810[[#This Row],[Region 2: Fixed Fee Per Case ($)]]</f>
        <v>0</v>
      </c>
      <c r="V37" s="19" t="e">
        <f>(Table156810[[#This Row],[Commercial Bid Price per case for NOI ($)]]+Table156810[[#This Row],[Region 2: Fixed Fee Per Case ($)]])/Table156810[[#This Row],['# of CN Servings per case]]</f>
        <v>#DIV/0!</v>
      </c>
      <c r="W37" s="20" t="e">
        <f>Table156810[[#This Row],[Total Cost Per Serving (N+P)/I]]*Table156810[[#This Row],[Estimated Servings Annual]]</f>
        <v>#DIV/0!</v>
      </c>
    </row>
    <row r="38" spans="1:23" x14ac:dyDescent="0.25">
      <c r="A38" s="38" t="s">
        <v>72</v>
      </c>
      <c r="B38" s="43" t="s">
        <v>119</v>
      </c>
      <c r="C38" s="6" t="s">
        <v>113</v>
      </c>
      <c r="D38" s="7"/>
      <c r="E38" s="7"/>
      <c r="F38" s="7"/>
      <c r="G38" s="7"/>
      <c r="H38" s="7"/>
      <c r="I38" s="7"/>
      <c r="J38" s="93">
        <v>100000</v>
      </c>
      <c r="K38" s="7"/>
      <c r="L38" s="7"/>
      <c r="M38" s="7"/>
      <c r="N38" s="7"/>
      <c r="O38" s="7"/>
      <c r="P38" s="7"/>
      <c r="Q38" s="110"/>
      <c r="R38" s="105">
        <f>(Table156810[[#This Row],[Commercial Bid Price per case for NOI ($)]]-Table156810[[#This Row],[Pass-Thru Value per case ($)]])+Table156810[[#This Row],[Region 1: Fixed Fee Per Case ($)]]</f>
        <v>0</v>
      </c>
      <c r="S38" s="18" t="e">
        <f>(Table156810[[#This Row],[Commercial Bid Price per case for NOI ($)]]+Table156810[[#This Row],[Region 1: Fixed Fee Per Case ($)]])/Table156810[[#This Row],['# of CN Servings per case]]</f>
        <v>#DIV/0!</v>
      </c>
      <c r="T38" s="118" t="e">
        <f>Table156810[[#This Row],[Total Cost Per Serving (N+O)/I]]*Table156810[[#This Row],[Estimated Servings Annual]]</f>
        <v>#DIV/0!</v>
      </c>
      <c r="U38" s="105">
        <f>(Table156810[[#This Row],[Commercial Bid Price per case for NOI ($)]]-Table156810[[#This Row],[Pass-Thru Value per case ($)]])+Table156810[[#This Row],[Region 2: Fixed Fee Per Case ($)]]</f>
        <v>0</v>
      </c>
      <c r="V38" s="19" t="e">
        <f>(Table156810[[#This Row],[Commercial Bid Price per case for NOI ($)]]+Table156810[[#This Row],[Region 2: Fixed Fee Per Case ($)]])/Table156810[[#This Row],['# of CN Servings per case]]</f>
        <v>#DIV/0!</v>
      </c>
      <c r="W38" s="20" t="e">
        <f>Table156810[[#This Row],[Total Cost Per Serving (N+P)/I]]*Table156810[[#This Row],[Estimated Servings Annual]]</f>
        <v>#DIV/0!</v>
      </c>
    </row>
    <row r="39" spans="1:23" x14ac:dyDescent="0.25">
      <c r="A39" s="38" t="s">
        <v>72</v>
      </c>
      <c r="B39" s="43" t="s">
        <v>119</v>
      </c>
      <c r="C39" s="7" t="s">
        <v>13</v>
      </c>
      <c r="D39" s="7"/>
      <c r="E39" s="7"/>
      <c r="F39" s="7"/>
      <c r="G39" s="7"/>
      <c r="H39" s="7"/>
      <c r="I39" s="7"/>
      <c r="J39" s="93">
        <v>100000</v>
      </c>
      <c r="K39" s="7"/>
      <c r="L39" s="7"/>
      <c r="M39" s="7"/>
      <c r="N39" s="7"/>
      <c r="O39" s="7"/>
      <c r="P39" s="7"/>
      <c r="Q39" s="110"/>
      <c r="R39" s="105">
        <f>(Table156810[[#This Row],[Commercial Bid Price per case for NOI ($)]]-Table156810[[#This Row],[Pass-Thru Value per case ($)]])+Table156810[[#This Row],[Region 1: Fixed Fee Per Case ($)]]</f>
        <v>0</v>
      </c>
      <c r="S39" s="18" t="e">
        <f>(Table156810[[#This Row],[Commercial Bid Price per case for NOI ($)]]+Table156810[[#This Row],[Region 1: Fixed Fee Per Case ($)]])/Table156810[[#This Row],['# of CN Servings per case]]</f>
        <v>#DIV/0!</v>
      </c>
      <c r="T39" s="118" t="e">
        <f>Table156810[[#This Row],[Total Cost Per Serving (N+O)/I]]*Table156810[[#This Row],[Estimated Servings Annual]]</f>
        <v>#DIV/0!</v>
      </c>
      <c r="U39" s="105">
        <f>(Table156810[[#This Row],[Commercial Bid Price per case for NOI ($)]]-Table156810[[#This Row],[Pass-Thru Value per case ($)]])+Table156810[[#This Row],[Region 2: Fixed Fee Per Case ($)]]</f>
        <v>0</v>
      </c>
      <c r="V39" s="19" t="e">
        <f>(Table156810[[#This Row],[Commercial Bid Price per case for NOI ($)]]+Table156810[[#This Row],[Region 2: Fixed Fee Per Case ($)]])/Table156810[[#This Row],['# of CN Servings per case]]</f>
        <v>#DIV/0!</v>
      </c>
      <c r="W39" s="20" t="e">
        <f>Table156810[[#This Row],[Total Cost Per Serving (N+P)/I]]*Table156810[[#This Row],[Estimated Servings Annual]]</f>
        <v>#DIV/0!</v>
      </c>
    </row>
    <row r="40" spans="1:23" x14ac:dyDescent="0.25">
      <c r="A40" s="38" t="s">
        <v>72</v>
      </c>
      <c r="B40" s="43" t="s">
        <v>119</v>
      </c>
      <c r="C40" s="7" t="s">
        <v>13</v>
      </c>
      <c r="D40" s="7"/>
      <c r="E40" s="7"/>
      <c r="F40" s="7"/>
      <c r="G40" s="7"/>
      <c r="H40" s="7"/>
      <c r="I40" s="7"/>
      <c r="J40" s="93">
        <v>100000</v>
      </c>
      <c r="K40" s="7"/>
      <c r="L40" s="7"/>
      <c r="M40" s="7"/>
      <c r="N40" s="7"/>
      <c r="O40" s="7"/>
      <c r="P40" s="7"/>
      <c r="Q40" s="110"/>
      <c r="R40" s="105">
        <f>(Table156810[[#This Row],[Commercial Bid Price per case for NOI ($)]]-Table156810[[#This Row],[Pass-Thru Value per case ($)]])+Table156810[[#This Row],[Region 1: Fixed Fee Per Case ($)]]</f>
        <v>0</v>
      </c>
      <c r="S40" s="18" t="e">
        <f>(Table156810[[#This Row],[Commercial Bid Price per case for NOI ($)]]+Table156810[[#This Row],[Region 1: Fixed Fee Per Case ($)]])/Table156810[[#This Row],['# of CN Servings per case]]</f>
        <v>#DIV/0!</v>
      </c>
      <c r="T40" s="118" t="e">
        <f>Table156810[[#This Row],[Total Cost Per Serving (N+O)/I]]*Table156810[[#This Row],[Estimated Servings Annual]]</f>
        <v>#DIV/0!</v>
      </c>
      <c r="U40" s="105">
        <f>(Table156810[[#This Row],[Commercial Bid Price per case for NOI ($)]]-Table156810[[#This Row],[Pass-Thru Value per case ($)]])+Table156810[[#This Row],[Region 2: Fixed Fee Per Case ($)]]</f>
        <v>0</v>
      </c>
      <c r="V40" s="19" t="e">
        <f>(Table156810[[#This Row],[Commercial Bid Price per case for NOI ($)]]+Table156810[[#This Row],[Region 2: Fixed Fee Per Case ($)]])/Table156810[[#This Row],['# of CN Servings per case]]</f>
        <v>#DIV/0!</v>
      </c>
      <c r="W40" s="20" t="e">
        <f>Table156810[[#This Row],[Total Cost Per Serving (N+P)/I]]*Table156810[[#This Row],[Estimated Servings Annual]]</f>
        <v>#DIV/0!</v>
      </c>
    </row>
    <row r="41" spans="1:23" x14ac:dyDescent="0.25">
      <c r="A41" s="38" t="s">
        <v>72</v>
      </c>
      <c r="B41" s="43" t="s">
        <v>119</v>
      </c>
      <c r="C41" s="7" t="s">
        <v>13</v>
      </c>
      <c r="D41" s="7"/>
      <c r="E41" s="7"/>
      <c r="F41" s="7"/>
      <c r="G41" s="7"/>
      <c r="H41" s="7"/>
      <c r="I41" s="7"/>
      <c r="J41" s="93">
        <v>100000</v>
      </c>
      <c r="K41" s="7"/>
      <c r="L41" s="7"/>
      <c r="M41" s="7"/>
      <c r="N41" s="7"/>
      <c r="O41" s="7"/>
      <c r="P41" s="7"/>
      <c r="Q41" s="110"/>
      <c r="R41" s="105">
        <f>(Table156810[[#This Row],[Commercial Bid Price per case for NOI ($)]]-Table156810[[#This Row],[Pass-Thru Value per case ($)]])+Table156810[[#This Row],[Region 1: Fixed Fee Per Case ($)]]</f>
        <v>0</v>
      </c>
      <c r="S41" s="18" t="e">
        <f>(Table156810[[#This Row],[Commercial Bid Price per case for NOI ($)]]+Table156810[[#This Row],[Region 1: Fixed Fee Per Case ($)]])/Table156810[[#This Row],['# of CN Servings per case]]</f>
        <v>#DIV/0!</v>
      </c>
      <c r="T41" s="118" t="e">
        <f>Table156810[[#This Row],[Total Cost Per Serving (N+O)/I]]*Table156810[[#This Row],[Estimated Servings Annual]]</f>
        <v>#DIV/0!</v>
      </c>
      <c r="U41" s="105">
        <f>(Table156810[[#This Row],[Commercial Bid Price per case for NOI ($)]]-Table156810[[#This Row],[Pass-Thru Value per case ($)]])+Table156810[[#This Row],[Region 2: Fixed Fee Per Case ($)]]</f>
        <v>0</v>
      </c>
      <c r="V41" s="19" t="e">
        <f>(Table156810[[#This Row],[Commercial Bid Price per case for NOI ($)]]+Table156810[[#This Row],[Region 2: Fixed Fee Per Case ($)]])/Table156810[[#This Row],['# of CN Servings per case]]</f>
        <v>#DIV/0!</v>
      </c>
      <c r="W41" s="20" t="e">
        <f>Table156810[[#This Row],[Total Cost Per Serving (N+P)/I]]*Table156810[[#This Row],[Estimated Servings Annual]]</f>
        <v>#DIV/0!</v>
      </c>
    </row>
    <row r="42" spans="1:23" ht="15.75" thickBot="1" x14ac:dyDescent="0.3">
      <c r="A42" s="38" t="s">
        <v>72</v>
      </c>
      <c r="B42" s="44" t="s">
        <v>119</v>
      </c>
      <c r="C42" s="9" t="s">
        <v>13</v>
      </c>
      <c r="D42" s="9"/>
      <c r="E42" s="9"/>
      <c r="F42" s="9"/>
      <c r="G42" s="9"/>
      <c r="H42" s="9"/>
      <c r="I42" s="9"/>
      <c r="J42" s="94">
        <v>100000</v>
      </c>
      <c r="K42" s="9"/>
      <c r="L42" s="9"/>
      <c r="M42" s="9"/>
      <c r="N42" s="9"/>
      <c r="O42" s="9"/>
      <c r="P42" s="9"/>
      <c r="Q42" s="111"/>
      <c r="R42" s="106">
        <f>(Table156810[[#This Row],[Commercial Bid Price per case for NOI ($)]]-Table156810[[#This Row],[Pass-Thru Value per case ($)]])+Table156810[[#This Row],[Region 1: Fixed Fee Per Case ($)]]</f>
        <v>0</v>
      </c>
      <c r="S42" s="21" t="e">
        <f>(Table156810[[#This Row],[Commercial Bid Price per case for NOI ($)]]+Table156810[[#This Row],[Region 1: Fixed Fee Per Case ($)]])/Table156810[[#This Row],['# of CN Servings per case]]</f>
        <v>#DIV/0!</v>
      </c>
      <c r="T42" s="120" t="e">
        <f>Table156810[[#This Row],[Total Cost Per Serving (N+O)/I]]*Table156810[[#This Row],[Estimated Servings Annual]]</f>
        <v>#DIV/0!</v>
      </c>
      <c r="U42" s="106">
        <f>(Table156810[[#This Row],[Commercial Bid Price per case for NOI ($)]]-Table156810[[#This Row],[Pass-Thru Value per case ($)]])+Table156810[[#This Row],[Region 2: Fixed Fee Per Case ($)]]</f>
        <v>0</v>
      </c>
      <c r="V42" s="22" t="e">
        <f>(Table156810[[#This Row],[Commercial Bid Price per case for NOI ($)]]+Table156810[[#This Row],[Region 2: Fixed Fee Per Case ($)]])/Table156810[[#This Row],['# of CN Servings per case]]</f>
        <v>#DIV/0!</v>
      </c>
      <c r="W42" s="23" t="e">
        <f>Table156810[[#This Row],[Total Cost Per Serving (N+P)/I]]*Table156810[[#This Row],[Estimated Servings Annual]]</f>
        <v>#DIV/0!</v>
      </c>
    </row>
    <row r="43" spans="1:23" x14ac:dyDescent="0.25">
      <c r="A43" s="39" t="s">
        <v>72</v>
      </c>
      <c r="B43" s="42" t="s">
        <v>116</v>
      </c>
      <c r="C43" s="3" t="s">
        <v>111</v>
      </c>
      <c r="D43" s="4"/>
      <c r="E43" s="4"/>
      <c r="F43" s="4"/>
      <c r="G43" s="4"/>
      <c r="H43" s="4"/>
      <c r="I43" s="4"/>
      <c r="J43" s="92">
        <v>300000</v>
      </c>
      <c r="K43" s="4"/>
      <c r="L43" s="4"/>
      <c r="M43" s="4"/>
      <c r="N43" s="4"/>
      <c r="O43" s="4"/>
      <c r="P43" s="4"/>
      <c r="Q43" s="109"/>
      <c r="R43" s="104">
        <f>(Table156810[[#This Row],[Commercial Bid Price per case for NOI ($)]]-Table156810[[#This Row],[Pass-Thru Value per case ($)]])+Table156810[[#This Row],[Region 1: Fixed Fee Per Case ($)]]</f>
        <v>0</v>
      </c>
      <c r="S43" s="15" t="e">
        <f>(Table156810[[#This Row],[Commercial Bid Price per case for NOI ($)]]+Table156810[[#This Row],[Region 1: Fixed Fee Per Case ($)]])/Table156810[[#This Row],['# of CN Servings per case]]</f>
        <v>#DIV/0!</v>
      </c>
      <c r="T43" s="115" t="e">
        <f>Table156810[[#This Row],[Total Cost Per Serving (N+O)/I]]*Table156810[[#This Row],[Estimated Servings Annual]]</f>
        <v>#DIV/0!</v>
      </c>
      <c r="U43" s="104">
        <f>(Table156810[[#This Row],[Commercial Bid Price per case for NOI ($)]]-Table156810[[#This Row],[Pass-Thru Value per case ($)]])+Table156810[[#This Row],[Region 2: Fixed Fee Per Case ($)]]</f>
        <v>0</v>
      </c>
      <c r="V43" s="31" t="e">
        <f>(Table156810[[#This Row],[Commercial Bid Price per case for NOI ($)]]+Table156810[[#This Row],[Region 2: Fixed Fee Per Case ($)]])/Table156810[[#This Row],['# of CN Servings per case]]</f>
        <v>#DIV/0!</v>
      </c>
      <c r="W43" s="17" t="e">
        <f>Table156810[[#This Row],[Total Cost Per Serving (N+P)/I]]*Table156810[[#This Row],[Estimated Servings Annual]]</f>
        <v>#DIV/0!</v>
      </c>
    </row>
    <row r="44" spans="1:23" x14ac:dyDescent="0.25">
      <c r="A44" s="39" t="s">
        <v>72</v>
      </c>
      <c r="B44" s="43" t="s">
        <v>116</v>
      </c>
      <c r="C44" s="6" t="s">
        <v>111</v>
      </c>
      <c r="D44" s="7"/>
      <c r="E44" s="7"/>
      <c r="F44" s="7"/>
      <c r="G44" s="7"/>
      <c r="H44" s="7"/>
      <c r="I44" s="7"/>
      <c r="J44" s="93">
        <v>300000</v>
      </c>
      <c r="K44" s="7"/>
      <c r="L44" s="7"/>
      <c r="M44" s="7"/>
      <c r="N44" s="7"/>
      <c r="O44" s="7"/>
      <c r="P44" s="7"/>
      <c r="Q44" s="110"/>
      <c r="R44" s="105">
        <f>(Table156810[[#This Row],[Commercial Bid Price per case for NOI ($)]]-Table156810[[#This Row],[Pass-Thru Value per case ($)]])+Table156810[[#This Row],[Region 1: Fixed Fee Per Case ($)]]</f>
        <v>0</v>
      </c>
      <c r="S44" s="18" t="e">
        <f>(Table156810[[#This Row],[Commercial Bid Price per case for NOI ($)]]+Table156810[[#This Row],[Region 1: Fixed Fee Per Case ($)]])/Table156810[[#This Row],['# of CN Servings per case]]</f>
        <v>#DIV/0!</v>
      </c>
      <c r="T44" s="118" t="e">
        <f>Table156810[[#This Row],[Total Cost Per Serving (N+O)/I]]*Table156810[[#This Row],[Estimated Servings Annual]]</f>
        <v>#DIV/0!</v>
      </c>
      <c r="U44" s="105">
        <f>(Table156810[[#This Row],[Commercial Bid Price per case for NOI ($)]]-Table156810[[#This Row],[Pass-Thru Value per case ($)]])+Table156810[[#This Row],[Region 2: Fixed Fee Per Case ($)]]</f>
        <v>0</v>
      </c>
      <c r="V44" s="24" t="e">
        <f>(Table156810[[#This Row],[Commercial Bid Price per case for NOI ($)]]+Table156810[[#This Row],[Region 2: Fixed Fee Per Case ($)]])/Table156810[[#This Row],['# of CN Servings per case]]</f>
        <v>#DIV/0!</v>
      </c>
      <c r="W44" s="20" t="e">
        <f>Table156810[[#This Row],[Total Cost Per Serving (N+P)/I]]*Table156810[[#This Row],[Estimated Servings Annual]]</f>
        <v>#DIV/0!</v>
      </c>
    </row>
    <row r="45" spans="1:23" x14ac:dyDescent="0.25">
      <c r="A45" s="45" t="s">
        <v>72</v>
      </c>
      <c r="B45" s="61" t="s">
        <v>116</v>
      </c>
      <c r="C45" s="6" t="s">
        <v>112</v>
      </c>
      <c r="D45" s="7"/>
      <c r="E45" s="7"/>
      <c r="F45" s="7"/>
      <c r="G45" s="7"/>
      <c r="H45" s="7"/>
      <c r="I45" s="7"/>
      <c r="J45" s="93">
        <v>300000</v>
      </c>
      <c r="K45" s="7"/>
      <c r="L45" s="7"/>
      <c r="M45" s="7"/>
      <c r="N45" s="7"/>
      <c r="O45" s="7"/>
      <c r="P45" s="7"/>
      <c r="Q45" s="110"/>
      <c r="R45" s="105">
        <f>(Table156810[[#This Row],[Commercial Bid Price per case for NOI ($)]]-Table156810[[#This Row],[Pass-Thru Value per case ($)]])+Table156810[[#This Row],[Region 1: Fixed Fee Per Case ($)]]</f>
        <v>0</v>
      </c>
      <c r="S45" s="18" t="e">
        <f>(Table156810[[#This Row],[Commercial Bid Price per case for NOI ($)]]+Table156810[[#This Row],[Region 1: Fixed Fee Per Case ($)]])/Table156810[[#This Row],['# of CN Servings per case]]</f>
        <v>#DIV/0!</v>
      </c>
      <c r="T45" s="118" t="e">
        <f>Table156810[[#This Row],[Total Cost Per Serving (N+O)/I]]*Table156810[[#This Row],[Estimated Servings Annual]]</f>
        <v>#DIV/0!</v>
      </c>
      <c r="U45" s="105">
        <f>(Table156810[[#This Row],[Commercial Bid Price per case for NOI ($)]]-Table156810[[#This Row],[Pass-Thru Value per case ($)]])+Table156810[[#This Row],[Region 2: Fixed Fee Per Case ($)]]</f>
        <v>0</v>
      </c>
      <c r="V45" s="24" t="e">
        <f>(Table156810[[#This Row],[Commercial Bid Price per case for NOI ($)]]+Table156810[[#This Row],[Region 2: Fixed Fee Per Case ($)]])/Table156810[[#This Row],['# of CN Servings per case]]</f>
        <v>#DIV/0!</v>
      </c>
      <c r="W45" s="20" t="e">
        <f>Table156810[[#This Row],[Total Cost Per Serving (N+P)/I]]*Table156810[[#This Row],[Estimated Servings Annual]]</f>
        <v>#DIV/0!</v>
      </c>
    </row>
    <row r="46" spans="1:23" x14ac:dyDescent="0.25">
      <c r="A46" s="45" t="s">
        <v>72</v>
      </c>
      <c r="B46" s="61" t="s">
        <v>116</v>
      </c>
      <c r="C46" s="6" t="s">
        <v>112</v>
      </c>
      <c r="D46" s="7"/>
      <c r="E46" s="7"/>
      <c r="F46" s="7"/>
      <c r="G46" s="7"/>
      <c r="H46" s="7"/>
      <c r="I46" s="7"/>
      <c r="J46" s="93">
        <v>300000</v>
      </c>
      <c r="K46" s="7"/>
      <c r="L46" s="7"/>
      <c r="M46" s="7"/>
      <c r="N46" s="7"/>
      <c r="O46" s="7"/>
      <c r="P46" s="7"/>
      <c r="Q46" s="110"/>
      <c r="R46" s="105">
        <f>(Table156810[[#This Row],[Commercial Bid Price per case for NOI ($)]]-Table156810[[#This Row],[Pass-Thru Value per case ($)]])+Table156810[[#This Row],[Region 1: Fixed Fee Per Case ($)]]</f>
        <v>0</v>
      </c>
      <c r="S46" s="18" t="e">
        <f>(Table156810[[#This Row],[Commercial Bid Price per case for NOI ($)]]+Table156810[[#This Row],[Region 1: Fixed Fee Per Case ($)]])/Table156810[[#This Row],['# of CN Servings per case]]</f>
        <v>#DIV/0!</v>
      </c>
      <c r="T46" s="118" t="e">
        <f>Table156810[[#This Row],[Total Cost Per Serving (N+O)/I]]*Table156810[[#This Row],[Estimated Servings Annual]]</f>
        <v>#DIV/0!</v>
      </c>
      <c r="U46" s="105">
        <f>(Table156810[[#This Row],[Commercial Bid Price per case for NOI ($)]]-Table156810[[#This Row],[Pass-Thru Value per case ($)]])+Table156810[[#This Row],[Region 2: Fixed Fee Per Case ($)]]</f>
        <v>0</v>
      </c>
      <c r="V46" s="24" t="e">
        <f>(Table156810[[#This Row],[Commercial Bid Price per case for NOI ($)]]+Table156810[[#This Row],[Region 2: Fixed Fee Per Case ($)]])/Table156810[[#This Row],['# of CN Servings per case]]</f>
        <v>#DIV/0!</v>
      </c>
      <c r="W46" s="20" t="e">
        <f>Table156810[[#This Row],[Total Cost Per Serving (N+P)/I]]*Table156810[[#This Row],[Estimated Servings Annual]]</f>
        <v>#DIV/0!</v>
      </c>
    </row>
    <row r="47" spans="1:23" x14ac:dyDescent="0.25">
      <c r="A47" s="39" t="s">
        <v>72</v>
      </c>
      <c r="B47" s="43" t="s">
        <v>116</v>
      </c>
      <c r="C47" s="6" t="s">
        <v>113</v>
      </c>
      <c r="D47" s="7"/>
      <c r="E47" s="7"/>
      <c r="F47" s="7"/>
      <c r="G47" s="7"/>
      <c r="H47" s="7"/>
      <c r="I47" s="7"/>
      <c r="J47" s="93">
        <v>300000</v>
      </c>
      <c r="K47" s="7"/>
      <c r="L47" s="7"/>
      <c r="M47" s="7"/>
      <c r="N47" s="7"/>
      <c r="O47" s="7"/>
      <c r="P47" s="7"/>
      <c r="Q47" s="110"/>
      <c r="R47" s="105">
        <f>(Table156810[[#This Row],[Commercial Bid Price per case for NOI ($)]]-Table156810[[#This Row],[Pass-Thru Value per case ($)]])+Table156810[[#This Row],[Region 1: Fixed Fee Per Case ($)]]</f>
        <v>0</v>
      </c>
      <c r="S47" s="18" t="e">
        <f>(Table156810[[#This Row],[Commercial Bid Price per case for NOI ($)]]+Table156810[[#This Row],[Region 1: Fixed Fee Per Case ($)]])/Table156810[[#This Row],['# of CN Servings per case]]</f>
        <v>#DIV/0!</v>
      </c>
      <c r="T47" s="118" t="e">
        <f>Table156810[[#This Row],[Total Cost Per Serving (N+O)/I]]*Table156810[[#This Row],[Estimated Servings Annual]]</f>
        <v>#DIV/0!</v>
      </c>
      <c r="U47" s="105">
        <f>(Table156810[[#This Row],[Commercial Bid Price per case for NOI ($)]]-Table156810[[#This Row],[Pass-Thru Value per case ($)]])+Table156810[[#This Row],[Region 2: Fixed Fee Per Case ($)]]</f>
        <v>0</v>
      </c>
      <c r="V47" s="24" t="e">
        <f>(Table156810[[#This Row],[Commercial Bid Price per case for NOI ($)]]+Table156810[[#This Row],[Region 2: Fixed Fee Per Case ($)]])/Table156810[[#This Row],['# of CN Servings per case]]</f>
        <v>#DIV/0!</v>
      </c>
      <c r="W47" s="20" t="e">
        <f>Table156810[[#This Row],[Total Cost Per Serving (N+P)/I]]*Table156810[[#This Row],[Estimated Servings Annual]]</f>
        <v>#DIV/0!</v>
      </c>
    </row>
    <row r="48" spans="1:23" x14ac:dyDescent="0.25">
      <c r="A48" s="39" t="s">
        <v>72</v>
      </c>
      <c r="B48" s="43" t="s">
        <v>116</v>
      </c>
      <c r="C48" s="6" t="s">
        <v>113</v>
      </c>
      <c r="D48" s="7"/>
      <c r="E48" s="7"/>
      <c r="F48" s="7"/>
      <c r="G48" s="7"/>
      <c r="H48" s="7"/>
      <c r="I48" s="7"/>
      <c r="J48" s="93">
        <v>300000</v>
      </c>
      <c r="K48" s="7"/>
      <c r="L48" s="7"/>
      <c r="M48" s="7"/>
      <c r="N48" s="7"/>
      <c r="O48" s="7"/>
      <c r="P48" s="7"/>
      <c r="Q48" s="110"/>
      <c r="R48" s="105">
        <f>(Table156810[[#This Row],[Commercial Bid Price per case for NOI ($)]]-Table156810[[#This Row],[Pass-Thru Value per case ($)]])+Table156810[[#This Row],[Region 1: Fixed Fee Per Case ($)]]</f>
        <v>0</v>
      </c>
      <c r="S48" s="18" t="e">
        <f>(Table156810[[#This Row],[Commercial Bid Price per case for NOI ($)]]+Table156810[[#This Row],[Region 1: Fixed Fee Per Case ($)]])/Table156810[[#This Row],['# of CN Servings per case]]</f>
        <v>#DIV/0!</v>
      </c>
      <c r="T48" s="118" t="e">
        <f>Table156810[[#This Row],[Total Cost Per Serving (N+O)/I]]*Table156810[[#This Row],[Estimated Servings Annual]]</f>
        <v>#DIV/0!</v>
      </c>
      <c r="U48" s="105">
        <f>(Table156810[[#This Row],[Commercial Bid Price per case for NOI ($)]]-Table156810[[#This Row],[Pass-Thru Value per case ($)]])+Table156810[[#This Row],[Region 2: Fixed Fee Per Case ($)]]</f>
        <v>0</v>
      </c>
      <c r="V48" s="24" t="e">
        <f>(Table156810[[#This Row],[Commercial Bid Price per case for NOI ($)]]+Table156810[[#This Row],[Region 2: Fixed Fee Per Case ($)]])/Table156810[[#This Row],['# of CN Servings per case]]</f>
        <v>#DIV/0!</v>
      </c>
      <c r="W48" s="20" t="e">
        <f>Table156810[[#This Row],[Total Cost Per Serving (N+P)/I]]*Table156810[[#This Row],[Estimated Servings Annual]]</f>
        <v>#DIV/0!</v>
      </c>
    </row>
    <row r="49" spans="1:23" x14ac:dyDescent="0.25">
      <c r="A49" s="39" t="s">
        <v>72</v>
      </c>
      <c r="B49" s="43" t="s">
        <v>116</v>
      </c>
      <c r="C49" s="7" t="s">
        <v>13</v>
      </c>
      <c r="D49" s="7"/>
      <c r="E49" s="7"/>
      <c r="F49" s="7"/>
      <c r="G49" s="7"/>
      <c r="H49" s="7"/>
      <c r="I49" s="7"/>
      <c r="J49" s="93">
        <v>300000</v>
      </c>
      <c r="K49" s="7"/>
      <c r="L49" s="7"/>
      <c r="M49" s="7"/>
      <c r="N49" s="7"/>
      <c r="O49" s="7"/>
      <c r="P49" s="7"/>
      <c r="Q49" s="110"/>
      <c r="R49" s="105">
        <f>(Table156810[[#This Row],[Commercial Bid Price per case for NOI ($)]]-Table156810[[#This Row],[Pass-Thru Value per case ($)]])+Table156810[[#This Row],[Region 1: Fixed Fee Per Case ($)]]</f>
        <v>0</v>
      </c>
      <c r="S49" s="18" t="e">
        <f>(Table156810[[#This Row],[Commercial Bid Price per case for NOI ($)]]+Table156810[[#This Row],[Region 1: Fixed Fee Per Case ($)]])/Table156810[[#This Row],['# of CN Servings per case]]</f>
        <v>#DIV/0!</v>
      </c>
      <c r="T49" s="118" t="e">
        <f>Table156810[[#This Row],[Total Cost Per Serving (N+O)/I]]*Table156810[[#This Row],[Estimated Servings Annual]]</f>
        <v>#DIV/0!</v>
      </c>
      <c r="U49" s="105">
        <f>(Table156810[[#This Row],[Commercial Bid Price per case for NOI ($)]]-Table156810[[#This Row],[Pass-Thru Value per case ($)]])+Table156810[[#This Row],[Region 2: Fixed Fee Per Case ($)]]</f>
        <v>0</v>
      </c>
      <c r="V49" s="24" t="e">
        <f>(Table156810[[#This Row],[Commercial Bid Price per case for NOI ($)]]+Table156810[[#This Row],[Region 2: Fixed Fee Per Case ($)]])/Table156810[[#This Row],['# of CN Servings per case]]</f>
        <v>#DIV/0!</v>
      </c>
      <c r="W49" s="20" t="e">
        <f>Table156810[[#This Row],[Total Cost Per Serving (N+P)/I]]*Table156810[[#This Row],[Estimated Servings Annual]]</f>
        <v>#DIV/0!</v>
      </c>
    </row>
    <row r="50" spans="1:23" x14ac:dyDescent="0.25">
      <c r="A50" s="39" t="s">
        <v>72</v>
      </c>
      <c r="B50" s="43" t="s">
        <v>116</v>
      </c>
      <c r="C50" s="7" t="s">
        <v>13</v>
      </c>
      <c r="D50" s="7"/>
      <c r="E50" s="7"/>
      <c r="F50" s="7"/>
      <c r="G50" s="7"/>
      <c r="H50" s="7"/>
      <c r="I50" s="7"/>
      <c r="J50" s="93">
        <v>300000</v>
      </c>
      <c r="K50" s="7"/>
      <c r="L50" s="7"/>
      <c r="M50" s="7"/>
      <c r="N50" s="7"/>
      <c r="O50" s="7"/>
      <c r="P50" s="7"/>
      <c r="Q50" s="110"/>
      <c r="R50" s="105">
        <f>(Table156810[[#This Row],[Commercial Bid Price per case for NOI ($)]]-Table156810[[#This Row],[Pass-Thru Value per case ($)]])+Table156810[[#This Row],[Region 1: Fixed Fee Per Case ($)]]</f>
        <v>0</v>
      </c>
      <c r="S50" s="18" t="e">
        <f>(Table156810[[#This Row],[Commercial Bid Price per case for NOI ($)]]+Table156810[[#This Row],[Region 1: Fixed Fee Per Case ($)]])/Table156810[[#This Row],['# of CN Servings per case]]</f>
        <v>#DIV/0!</v>
      </c>
      <c r="T50" s="118" t="e">
        <f>Table156810[[#This Row],[Total Cost Per Serving (N+O)/I]]*Table156810[[#This Row],[Estimated Servings Annual]]</f>
        <v>#DIV/0!</v>
      </c>
      <c r="U50" s="105">
        <f>(Table156810[[#This Row],[Commercial Bid Price per case for NOI ($)]]-Table156810[[#This Row],[Pass-Thru Value per case ($)]])+Table156810[[#This Row],[Region 2: Fixed Fee Per Case ($)]]</f>
        <v>0</v>
      </c>
      <c r="V50" s="24" t="e">
        <f>(Table156810[[#This Row],[Commercial Bid Price per case for NOI ($)]]+Table156810[[#This Row],[Region 2: Fixed Fee Per Case ($)]])/Table156810[[#This Row],['# of CN Servings per case]]</f>
        <v>#DIV/0!</v>
      </c>
      <c r="W50" s="20" t="e">
        <f>Table156810[[#This Row],[Total Cost Per Serving (N+P)/I]]*Table156810[[#This Row],[Estimated Servings Annual]]</f>
        <v>#DIV/0!</v>
      </c>
    </row>
    <row r="51" spans="1:23" x14ac:dyDescent="0.25">
      <c r="A51" s="39" t="s">
        <v>72</v>
      </c>
      <c r="B51" s="43" t="s">
        <v>116</v>
      </c>
      <c r="C51" s="7" t="s">
        <v>13</v>
      </c>
      <c r="D51" s="7"/>
      <c r="E51" s="7"/>
      <c r="F51" s="7"/>
      <c r="G51" s="7"/>
      <c r="H51" s="7"/>
      <c r="I51" s="7"/>
      <c r="J51" s="93">
        <v>300000</v>
      </c>
      <c r="K51" s="7"/>
      <c r="L51" s="7"/>
      <c r="M51" s="7"/>
      <c r="N51" s="7"/>
      <c r="O51" s="7"/>
      <c r="P51" s="7"/>
      <c r="Q51" s="110"/>
      <c r="R51" s="105">
        <f>(Table156810[[#This Row],[Commercial Bid Price per case for NOI ($)]]-Table156810[[#This Row],[Pass-Thru Value per case ($)]])+Table156810[[#This Row],[Region 1: Fixed Fee Per Case ($)]]</f>
        <v>0</v>
      </c>
      <c r="S51" s="18" t="e">
        <f>(Table156810[[#This Row],[Commercial Bid Price per case for NOI ($)]]+Table156810[[#This Row],[Region 1: Fixed Fee Per Case ($)]])/Table156810[[#This Row],['# of CN Servings per case]]</f>
        <v>#DIV/0!</v>
      </c>
      <c r="T51" s="118" t="e">
        <f>Table156810[[#This Row],[Total Cost Per Serving (N+O)/I]]*Table156810[[#This Row],[Estimated Servings Annual]]</f>
        <v>#DIV/0!</v>
      </c>
      <c r="U51" s="105">
        <f>(Table156810[[#This Row],[Commercial Bid Price per case for NOI ($)]]-Table156810[[#This Row],[Pass-Thru Value per case ($)]])+Table156810[[#This Row],[Region 2: Fixed Fee Per Case ($)]]</f>
        <v>0</v>
      </c>
      <c r="V51" s="24" t="e">
        <f>(Table156810[[#This Row],[Commercial Bid Price per case for NOI ($)]]+Table156810[[#This Row],[Region 2: Fixed Fee Per Case ($)]])/Table156810[[#This Row],['# of CN Servings per case]]</f>
        <v>#DIV/0!</v>
      </c>
      <c r="W51" s="20" t="e">
        <f>Table156810[[#This Row],[Total Cost Per Serving (N+P)/I]]*Table156810[[#This Row],[Estimated Servings Annual]]</f>
        <v>#DIV/0!</v>
      </c>
    </row>
    <row r="52" spans="1:23" ht="15.75" thickBot="1" x14ac:dyDescent="0.3">
      <c r="A52" s="40" t="s">
        <v>72</v>
      </c>
      <c r="B52" s="44" t="s">
        <v>116</v>
      </c>
      <c r="C52" s="9" t="s">
        <v>13</v>
      </c>
      <c r="D52" s="9"/>
      <c r="E52" s="9"/>
      <c r="F52" s="9"/>
      <c r="G52" s="9"/>
      <c r="H52" s="9"/>
      <c r="I52" s="9"/>
      <c r="J52" s="94">
        <v>300000</v>
      </c>
      <c r="K52" s="9"/>
      <c r="L52" s="9"/>
      <c r="M52" s="9"/>
      <c r="N52" s="9"/>
      <c r="O52" s="9"/>
      <c r="P52" s="9"/>
      <c r="Q52" s="111"/>
      <c r="R52" s="106">
        <f>(Table156810[[#This Row],[Commercial Bid Price per case for NOI ($)]]-Table156810[[#This Row],[Pass-Thru Value per case ($)]])+Table156810[[#This Row],[Region 1: Fixed Fee Per Case ($)]]</f>
        <v>0</v>
      </c>
      <c r="S52" s="21" t="e">
        <f>(Table156810[[#This Row],[Commercial Bid Price per case for NOI ($)]]+Table156810[[#This Row],[Region 1: Fixed Fee Per Case ($)]])/Table156810[[#This Row],['# of CN Servings per case]]</f>
        <v>#DIV/0!</v>
      </c>
      <c r="T52" s="120" t="e">
        <f>Table156810[[#This Row],[Total Cost Per Serving (N+O)/I]]*Table156810[[#This Row],[Estimated Servings Annual]]</f>
        <v>#DIV/0!</v>
      </c>
      <c r="U52" s="106">
        <f>(Table156810[[#This Row],[Commercial Bid Price per case for NOI ($)]]-Table156810[[#This Row],[Pass-Thru Value per case ($)]])+Table156810[[#This Row],[Region 2: Fixed Fee Per Case ($)]]</f>
        <v>0</v>
      </c>
      <c r="V52" s="25" t="e">
        <f>(Table156810[[#This Row],[Commercial Bid Price per case for NOI ($)]]+Table156810[[#This Row],[Region 2: Fixed Fee Per Case ($)]])/Table156810[[#This Row],['# of CN Servings per case]]</f>
        <v>#DIV/0!</v>
      </c>
      <c r="W52" s="23" t="e">
        <f>Table156810[[#This Row],[Total Cost Per Serving (N+P)/I]]*Table156810[[#This Row],[Estimated Servings Annual]]</f>
        <v>#DIV/0!</v>
      </c>
    </row>
    <row r="53" spans="1:23" x14ac:dyDescent="0.25">
      <c r="A53" s="39" t="s">
        <v>72</v>
      </c>
      <c r="B53" s="42" t="s">
        <v>117</v>
      </c>
      <c r="C53" s="3" t="s">
        <v>111</v>
      </c>
      <c r="D53" s="4"/>
      <c r="E53" s="4"/>
      <c r="F53" s="4"/>
      <c r="G53" s="4"/>
      <c r="H53" s="4"/>
      <c r="I53" s="4"/>
      <c r="J53" s="92">
        <v>250000</v>
      </c>
      <c r="K53" s="4"/>
      <c r="L53" s="4"/>
      <c r="M53" s="4"/>
      <c r="N53" s="4"/>
      <c r="O53" s="4"/>
      <c r="P53" s="4"/>
      <c r="Q53" s="109"/>
      <c r="R53" s="104">
        <f>(Table156810[[#This Row],[Commercial Bid Price per case for NOI ($)]]-Table156810[[#This Row],[Pass-Thru Value per case ($)]])+Table156810[[#This Row],[Region 1: Fixed Fee Per Case ($)]]</f>
        <v>0</v>
      </c>
      <c r="S53" s="15" t="e">
        <f>(Table156810[[#This Row],[Commercial Bid Price per case for NOI ($)]]+Table156810[[#This Row],[Region 1: Fixed Fee Per Case ($)]])/Table156810[[#This Row],['# of CN Servings per case]]</f>
        <v>#DIV/0!</v>
      </c>
      <c r="T53" s="115" t="e">
        <f>Table156810[[#This Row],[Total Cost Per Serving (N+O)/I]]*Table156810[[#This Row],[Estimated Servings Annual]]</f>
        <v>#DIV/0!</v>
      </c>
      <c r="U53" s="104">
        <f>(Table156810[[#This Row],[Commercial Bid Price per case for NOI ($)]]-Table156810[[#This Row],[Pass-Thru Value per case ($)]])+Table156810[[#This Row],[Region 2: Fixed Fee Per Case ($)]]</f>
        <v>0</v>
      </c>
      <c r="V53" s="31" t="e">
        <f>(Table156810[[#This Row],[Commercial Bid Price per case for NOI ($)]]+Table156810[[#This Row],[Region 2: Fixed Fee Per Case ($)]])/Table156810[[#This Row],['# of CN Servings per case]]</f>
        <v>#DIV/0!</v>
      </c>
      <c r="W53" s="17" t="e">
        <f>Table156810[[#This Row],[Total Cost Per Serving (N+P)/I]]*Table156810[[#This Row],[Estimated Servings Annual]]</f>
        <v>#DIV/0!</v>
      </c>
    </row>
    <row r="54" spans="1:23" x14ac:dyDescent="0.25">
      <c r="A54" s="39" t="s">
        <v>72</v>
      </c>
      <c r="B54" s="43" t="s">
        <v>117</v>
      </c>
      <c r="C54" s="6" t="s">
        <v>111</v>
      </c>
      <c r="D54" s="7"/>
      <c r="E54" s="7"/>
      <c r="F54" s="7"/>
      <c r="G54" s="7"/>
      <c r="H54" s="7"/>
      <c r="I54" s="7"/>
      <c r="J54" s="93">
        <v>250000</v>
      </c>
      <c r="K54" s="7"/>
      <c r="L54" s="7"/>
      <c r="M54" s="7"/>
      <c r="N54" s="7"/>
      <c r="O54" s="7"/>
      <c r="P54" s="7"/>
      <c r="Q54" s="110"/>
      <c r="R54" s="105">
        <f>(Table156810[[#This Row],[Commercial Bid Price per case for NOI ($)]]-Table156810[[#This Row],[Pass-Thru Value per case ($)]])+Table156810[[#This Row],[Region 1: Fixed Fee Per Case ($)]]</f>
        <v>0</v>
      </c>
      <c r="S54" s="18" t="e">
        <f>(Table156810[[#This Row],[Commercial Bid Price per case for NOI ($)]]+Table156810[[#This Row],[Region 1: Fixed Fee Per Case ($)]])/Table156810[[#This Row],['# of CN Servings per case]]</f>
        <v>#DIV/0!</v>
      </c>
      <c r="T54" s="118" t="e">
        <f>Table156810[[#This Row],[Total Cost Per Serving (N+O)/I]]*Table156810[[#This Row],[Estimated Servings Annual]]</f>
        <v>#DIV/0!</v>
      </c>
      <c r="U54" s="105">
        <f>(Table156810[[#This Row],[Commercial Bid Price per case for NOI ($)]]-Table156810[[#This Row],[Pass-Thru Value per case ($)]])+Table156810[[#This Row],[Region 2: Fixed Fee Per Case ($)]]</f>
        <v>0</v>
      </c>
      <c r="V54" s="24" t="e">
        <f>(Table156810[[#This Row],[Commercial Bid Price per case for NOI ($)]]+Table156810[[#This Row],[Region 2: Fixed Fee Per Case ($)]])/Table156810[[#This Row],['# of CN Servings per case]]</f>
        <v>#DIV/0!</v>
      </c>
      <c r="W54" s="20" t="e">
        <f>Table156810[[#This Row],[Total Cost Per Serving (N+P)/I]]*Table156810[[#This Row],[Estimated Servings Annual]]</f>
        <v>#DIV/0!</v>
      </c>
    </row>
    <row r="55" spans="1:23" x14ac:dyDescent="0.25">
      <c r="A55" s="45" t="s">
        <v>72</v>
      </c>
      <c r="B55" s="61" t="s">
        <v>117</v>
      </c>
      <c r="C55" s="6" t="s">
        <v>112</v>
      </c>
      <c r="D55" s="7"/>
      <c r="E55" s="7"/>
      <c r="F55" s="7"/>
      <c r="G55" s="7"/>
      <c r="H55" s="7"/>
      <c r="I55" s="7"/>
      <c r="J55" s="93">
        <v>250000</v>
      </c>
      <c r="K55" s="7"/>
      <c r="L55" s="7"/>
      <c r="M55" s="7"/>
      <c r="N55" s="7"/>
      <c r="O55" s="7"/>
      <c r="P55" s="7"/>
      <c r="Q55" s="110"/>
      <c r="R55" s="105">
        <f>(Table156810[[#This Row],[Commercial Bid Price per case for NOI ($)]]-Table156810[[#This Row],[Pass-Thru Value per case ($)]])+Table156810[[#This Row],[Region 1: Fixed Fee Per Case ($)]]</f>
        <v>0</v>
      </c>
      <c r="S55" s="18" t="e">
        <f>(Table156810[[#This Row],[Commercial Bid Price per case for NOI ($)]]+Table156810[[#This Row],[Region 1: Fixed Fee Per Case ($)]])/Table156810[[#This Row],['# of CN Servings per case]]</f>
        <v>#DIV/0!</v>
      </c>
      <c r="T55" s="118" t="e">
        <f>Table156810[[#This Row],[Total Cost Per Serving (N+O)/I]]*Table156810[[#This Row],[Estimated Servings Annual]]</f>
        <v>#DIV/0!</v>
      </c>
      <c r="U55" s="105">
        <f>(Table156810[[#This Row],[Commercial Bid Price per case for NOI ($)]]-Table156810[[#This Row],[Pass-Thru Value per case ($)]])+Table156810[[#This Row],[Region 2: Fixed Fee Per Case ($)]]</f>
        <v>0</v>
      </c>
      <c r="V55" s="24" t="e">
        <f>(Table156810[[#This Row],[Commercial Bid Price per case for NOI ($)]]+Table156810[[#This Row],[Region 2: Fixed Fee Per Case ($)]])/Table156810[[#This Row],['# of CN Servings per case]]</f>
        <v>#DIV/0!</v>
      </c>
      <c r="W55" s="20" t="e">
        <f>Table156810[[#This Row],[Total Cost Per Serving (N+P)/I]]*Table156810[[#This Row],[Estimated Servings Annual]]</f>
        <v>#DIV/0!</v>
      </c>
    </row>
    <row r="56" spans="1:23" x14ac:dyDescent="0.25">
      <c r="A56" s="45" t="s">
        <v>72</v>
      </c>
      <c r="B56" s="61" t="s">
        <v>117</v>
      </c>
      <c r="C56" s="6" t="s">
        <v>112</v>
      </c>
      <c r="D56" s="7"/>
      <c r="E56" s="7"/>
      <c r="F56" s="7"/>
      <c r="G56" s="7"/>
      <c r="H56" s="7"/>
      <c r="I56" s="7"/>
      <c r="J56" s="93">
        <v>250000</v>
      </c>
      <c r="K56" s="7"/>
      <c r="L56" s="7"/>
      <c r="M56" s="7"/>
      <c r="N56" s="7"/>
      <c r="O56" s="7"/>
      <c r="P56" s="7"/>
      <c r="Q56" s="110"/>
      <c r="R56" s="105">
        <f>(Table156810[[#This Row],[Commercial Bid Price per case for NOI ($)]]-Table156810[[#This Row],[Pass-Thru Value per case ($)]])+Table156810[[#This Row],[Region 1: Fixed Fee Per Case ($)]]</f>
        <v>0</v>
      </c>
      <c r="S56" s="18" t="e">
        <f>(Table156810[[#This Row],[Commercial Bid Price per case for NOI ($)]]+Table156810[[#This Row],[Region 1: Fixed Fee Per Case ($)]])/Table156810[[#This Row],['# of CN Servings per case]]</f>
        <v>#DIV/0!</v>
      </c>
      <c r="T56" s="118" t="e">
        <f>Table156810[[#This Row],[Total Cost Per Serving (N+O)/I]]*Table156810[[#This Row],[Estimated Servings Annual]]</f>
        <v>#DIV/0!</v>
      </c>
      <c r="U56" s="105">
        <f>(Table156810[[#This Row],[Commercial Bid Price per case for NOI ($)]]-Table156810[[#This Row],[Pass-Thru Value per case ($)]])+Table156810[[#This Row],[Region 2: Fixed Fee Per Case ($)]]</f>
        <v>0</v>
      </c>
      <c r="V56" s="24" t="e">
        <f>(Table156810[[#This Row],[Commercial Bid Price per case for NOI ($)]]+Table156810[[#This Row],[Region 2: Fixed Fee Per Case ($)]])/Table156810[[#This Row],['# of CN Servings per case]]</f>
        <v>#DIV/0!</v>
      </c>
      <c r="W56" s="20" t="e">
        <f>Table156810[[#This Row],[Total Cost Per Serving (N+P)/I]]*Table156810[[#This Row],[Estimated Servings Annual]]</f>
        <v>#DIV/0!</v>
      </c>
    </row>
    <row r="57" spans="1:23" x14ac:dyDescent="0.25">
      <c r="A57" s="39" t="s">
        <v>72</v>
      </c>
      <c r="B57" s="43" t="s">
        <v>117</v>
      </c>
      <c r="C57" s="6" t="s">
        <v>113</v>
      </c>
      <c r="D57" s="7"/>
      <c r="E57" s="7"/>
      <c r="F57" s="7"/>
      <c r="G57" s="7"/>
      <c r="H57" s="7"/>
      <c r="I57" s="7"/>
      <c r="J57" s="93">
        <v>250000</v>
      </c>
      <c r="K57" s="7"/>
      <c r="L57" s="7"/>
      <c r="M57" s="7"/>
      <c r="N57" s="7"/>
      <c r="O57" s="7"/>
      <c r="P57" s="7"/>
      <c r="Q57" s="110"/>
      <c r="R57" s="105">
        <f>(Table156810[[#This Row],[Commercial Bid Price per case for NOI ($)]]-Table156810[[#This Row],[Pass-Thru Value per case ($)]])+Table156810[[#This Row],[Region 1: Fixed Fee Per Case ($)]]</f>
        <v>0</v>
      </c>
      <c r="S57" s="18" t="e">
        <f>(Table156810[[#This Row],[Commercial Bid Price per case for NOI ($)]]+Table156810[[#This Row],[Region 1: Fixed Fee Per Case ($)]])/Table156810[[#This Row],['# of CN Servings per case]]</f>
        <v>#DIV/0!</v>
      </c>
      <c r="T57" s="118" t="e">
        <f>Table156810[[#This Row],[Total Cost Per Serving (N+O)/I]]*Table156810[[#This Row],[Estimated Servings Annual]]</f>
        <v>#DIV/0!</v>
      </c>
      <c r="U57" s="105">
        <f>(Table156810[[#This Row],[Commercial Bid Price per case for NOI ($)]]-Table156810[[#This Row],[Pass-Thru Value per case ($)]])+Table156810[[#This Row],[Region 2: Fixed Fee Per Case ($)]]</f>
        <v>0</v>
      </c>
      <c r="V57" s="24" t="e">
        <f>(Table156810[[#This Row],[Commercial Bid Price per case for NOI ($)]]+Table156810[[#This Row],[Region 2: Fixed Fee Per Case ($)]])/Table156810[[#This Row],['# of CN Servings per case]]</f>
        <v>#DIV/0!</v>
      </c>
      <c r="W57" s="20" t="e">
        <f>Table156810[[#This Row],[Total Cost Per Serving (N+P)/I]]*Table156810[[#This Row],[Estimated Servings Annual]]</f>
        <v>#DIV/0!</v>
      </c>
    </row>
    <row r="58" spans="1:23" x14ac:dyDescent="0.25">
      <c r="A58" s="39" t="s">
        <v>72</v>
      </c>
      <c r="B58" s="43" t="s">
        <v>117</v>
      </c>
      <c r="C58" s="6" t="s">
        <v>113</v>
      </c>
      <c r="D58" s="7"/>
      <c r="E58" s="7"/>
      <c r="F58" s="7"/>
      <c r="G58" s="7"/>
      <c r="H58" s="7"/>
      <c r="I58" s="7"/>
      <c r="J58" s="93">
        <v>250000</v>
      </c>
      <c r="K58" s="7"/>
      <c r="L58" s="7"/>
      <c r="M58" s="7"/>
      <c r="N58" s="7"/>
      <c r="O58" s="7"/>
      <c r="P58" s="7"/>
      <c r="Q58" s="110"/>
      <c r="R58" s="105">
        <f>(Table156810[[#This Row],[Commercial Bid Price per case for NOI ($)]]-Table156810[[#This Row],[Pass-Thru Value per case ($)]])+Table156810[[#This Row],[Region 1: Fixed Fee Per Case ($)]]</f>
        <v>0</v>
      </c>
      <c r="S58" s="18" t="e">
        <f>(Table156810[[#This Row],[Commercial Bid Price per case for NOI ($)]]+Table156810[[#This Row],[Region 1: Fixed Fee Per Case ($)]])/Table156810[[#This Row],['# of CN Servings per case]]</f>
        <v>#DIV/0!</v>
      </c>
      <c r="T58" s="118" t="e">
        <f>Table156810[[#This Row],[Total Cost Per Serving (N+O)/I]]*Table156810[[#This Row],[Estimated Servings Annual]]</f>
        <v>#DIV/0!</v>
      </c>
      <c r="U58" s="105">
        <f>(Table156810[[#This Row],[Commercial Bid Price per case for NOI ($)]]-Table156810[[#This Row],[Pass-Thru Value per case ($)]])+Table156810[[#This Row],[Region 2: Fixed Fee Per Case ($)]]</f>
        <v>0</v>
      </c>
      <c r="V58" s="24" t="e">
        <f>(Table156810[[#This Row],[Commercial Bid Price per case for NOI ($)]]+Table156810[[#This Row],[Region 2: Fixed Fee Per Case ($)]])/Table156810[[#This Row],['# of CN Servings per case]]</f>
        <v>#DIV/0!</v>
      </c>
      <c r="W58" s="20" t="e">
        <f>Table156810[[#This Row],[Total Cost Per Serving (N+P)/I]]*Table156810[[#This Row],[Estimated Servings Annual]]</f>
        <v>#DIV/0!</v>
      </c>
    </row>
    <row r="59" spans="1:23" x14ac:dyDescent="0.25">
      <c r="A59" s="39" t="s">
        <v>72</v>
      </c>
      <c r="B59" s="43" t="s">
        <v>117</v>
      </c>
      <c r="C59" s="7" t="s">
        <v>13</v>
      </c>
      <c r="D59" s="7"/>
      <c r="E59" s="7"/>
      <c r="F59" s="7"/>
      <c r="G59" s="7"/>
      <c r="H59" s="7"/>
      <c r="I59" s="7"/>
      <c r="J59" s="93">
        <v>250000</v>
      </c>
      <c r="K59" s="7"/>
      <c r="L59" s="7"/>
      <c r="M59" s="7"/>
      <c r="N59" s="7"/>
      <c r="O59" s="7"/>
      <c r="P59" s="7"/>
      <c r="Q59" s="110"/>
      <c r="R59" s="105">
        <f>(Table156810[[#This Row],[Commercial Bid Price per case for NOI ($)]]-Table156810[[#This Row],[Pass-Thru Value per case ($)]])+Table156810[[#This Row],[Region 1: Fixed Fee Per Case ($)]]</f>
        <v>0</v>
      </c>
      <c r="S59" s="18" t="e">
        <f>(Table156810[[#This Row],[Commercial Bid Price per case for NOI ($)]]+Table156810[[#This Row],[Region 1: Fixed Fee Per Case ($)]])/Table156810[[#This Row],['# of CN Servings per case]]</f>
        <v>#DIV/0!</v>
      </c>
      <c r="T59" s="118" t="e">
        <f>Table156810[[#This Row],[Total Cost Per Serving (N+O)/I]]*Table156810[[#This Row],[Estimated Servings Annual]]</f>
        <v>#DIV/0!</v>
      </c>
      <c r="U59" s="105">
        <f>(Table156810[[#This Row],[Commercial Bid Price per case for NOI ($)]]-Table156810[[#This Row],[Pass-Thru Value per case ($)]])+Table156810[[#This Row],[Region 2: Fixed Fee Per Case ($)]]</f>
        <v>0</v>
      </c>
      <c r="V59" s="24" t="e">
        <f>(Table156810[[#This Row],[Commercial Bid Price per case for NOI ($)]]+Table156810[[#This Row],[Region 2: Fixed Fee Per Case ($)]])/Table156810[[#This Row],['# of CN Servings per case]]</f>
        <v>#DIV/0!</v>
      </c>
      <c r="W59" s="20" t="e">
        <f>Table156810[[#This Row],[Total Cost Per Serving (N+P)/I]]*Table156810[[#This Row],[Estimated Servings Annual]]</f>
        <v>#DIV/0!</v>
      </c>
    </row>
    <row r="60" spans="1:23" x14ac:dyDescent="0.25">
      <c r="A60" s="39" t="s">
        <v>72</v>
      </c>
      <c r="B60" s="43" t="s">
        <v>117</v>
      </c>
      <c r="C60" s="7" t="s">
        <v>13</v>
      </c>
      <c r="D60" s="7"/>
      <c r="E60" s="7"/>
      <c r="F60" s="7"/>
      <c r="G60" s="7"/>
      <c r="H60" s="7"/>
      <c r="I60" s="7"/>
      <c r="J60" s="93">
        <v>250000</v>
      </c>
      <c r="K60" s="7"/>
      <c r="L60" s="7"/>
      <c r="M60" s="7"/>
      <c r="N60" s="7"/>
      <c r="O60" s="7"/>
      <c r="P60" s="7"/>
      <c r="Q60" s="110"/>
      <c r="R60" s="105">
        <f>(Table156810[[#This Row],[Commercial Bid Price per case for NOI ($)]]-Table156810[[#This Row],[Pass-Thru Value per case ($)]])+Table156810[[#This Row],[Region 1: Fixed Fee Per Case ($)]]</f>
        <v>0</v>
      </c>
      <c r="S60" s="18" t="e">
        <f>(Table156810[[#This Row],[Commercial Bid Price per case for NOI ($)]]+Table156810[[#This Row],[Region 1: Fixed Fee Per Case ($)]])/Table156810[[#This Row],['# of CN Servings per case]]</f>
        <v>#DIV/0!</v>
      </c>
      <c r="T60" s="118" t="e">
        <f>Table156810[[#This Row],[Total Cost Per Serving (N+O)/I]]*Table156810[[#This Row],[Estimated Servings Annual]]</f>
        <v>#DIV/0!</v>
      </c>
      <c r="U60" s="105">
        <f>(Table156810[[#This Row],[Commercial Bid Price per case for NOI ($)]]-Table156810[[#This Row],[Pass-Thru Value per case ($)]])+Table156810[[#This Row],[Region 2: Fixed Fee Per Case ($)]]</f>
        <v>0</v>
      </c>
      <c r="V60" s="24" t="e">
        <f>(Table156810[[#This Row],[Commercial Bid Price per case for NOI ($)]]+Table156810[[#This Row],[Region 2: Fixed Fee Per Case ($)]])/Table156810[[#This Row],['# of CN Servings per case]]</f>
        <v>#DIV/0!</v>
      </c>
      <c r="W60" s="20" t="e">
        <f>Table156810[[#This Row],[Total Cost Per Serving (N+P)/I]]*Table156810[[#This Row],[Estimated Servings Annual]]</f>
        <v>#DIV/0!</v>
      </c>
    </row>
    <row r="61" spans="1:23" x14ac:dyDescent="0.25">
      <c r="A61" s="39" t="s">
        <v>72</v>
      </c>
      <c r="B61" s="43" t="s">
        <v>117</v>
      </c>
      <c r="C61" s="7" t="s">
        <v>13</v>
      </c>
      <c r="D61" s="7"/>
      <c r="E61" s="7"/>
      <c r="F61" s="7"/>
      <c r="G61" s="7"/>
      <c r="H61" s="7"/>
      <c r="I61" s="7"/>
      <c r="J61" s="93">
        <v>250000</v>
      </c>
      <c r="K61" s="7"/>
      <c r="L61" s="7"/>
      <c r="M61" s="7"/>
      <c r="N61" s="7"/>
      <c r="O61" s="7"/>
      <c r="P61" s="7"/>
      <c r="Q61" s="110"/>
      <c r="R61" s="105">
        <f>(Table156810[[#This Row],[Commercial Bid Price per case for NOI ($)]]-Table156810[[#This Row],[Pass-Thru Value per case ($)]])+Table156810[[#This Row],[Region 1: Fixed Fee Per Case ($)]]</f>
        <v>0</v>
      </c>
      <c r="S61" s="18" t="e">
        <f>(Table156810[[#This Row],[Commercial Bid Price per case for NOI ($)]]+Table156810[[#This Row],[Region 1: Fixed Fee Per Case ($)]])/Table156810[[#This Row],['# of CN Servings per case]]</f>
        <v>#DIV/0!</v>
      </c>
      <c r="T61" s="118" t="e">
        <f>Table156810[[#This Row],[Total Cost Per Serving (N+O)/I]]*Table156810[[#This Row],[Estimated Servings Annual]]</f>
        <v>#DIV/0!</v>
      </c>
      <c r="U61" s="105">
        <f>(Table156810[[#This Row],[Commercial Bid Price per case for NOI ($)]]-Table156810[[#This Row],[Pass-Thru Value per case ($)]])+Table156810[[#This Row],[Region 2: Fixed Fee Per Case ($)]]</f>
        <v>0</v>
      </c>
      <c r="V61" s="24" t="e">
        <f>(Table156810[[#This Row],[Commercial Bid Price per case for NOI ($)]]+Table156810[[#This Row],[Region 2: Fixed Fee Per Case ($)]])/Table156810[[#This Row],['# of CN Servings per case]]</f>
        <v>#DIV/0!</v>
      </c>
      <c r="W61" s="20" t="e">
        <f>Table156810[[#This Row],[Total Cost Per Serving (N+P)/I]]*Table156810[[#This Row],[Estimated Servings Annual]]</f>
        <v>#DIV/0!</v>
      </c>
    </row>
    <row r="62" spans="1:23" ht="15.75" thickBot="1" x14ac:dyDescent="0.3">
      <c r="A62" s="40" t="s">
        <v>72</v>
      </c>
      <c r="B62" s="44" t="s">
        <v>117</v>
      </c>
      <c r="C62" s="9" t="s">
        <v>13</v>
      </c>
      <c r="D62" s="9"/>
      <c r="E62" s="9"/>
      <c r="F62" s="9"/>
      <c r="G62" s="9"/>
      <c r="H62" s="9"/>
      <c r="I62" s="9"/>
      <c r="J62" s="94">
        <v>250000</v>
      </c>
      <c r="K62" s="9"/>
      <c r="L62" s="9"/>
      <c r="M62" s="9"/>
      <c r="N62" s="9"/>
      <c r="O62" s="9"/>
      <c r="P62" s="9"/>
      <c r="Q62" s="111"/>
      <c r="R62" s="106">
        <f>(Table156810[[#This Row],[Commercial Bid Price per case for NOI ($)]]-Table156810[[#This Row],[Pass-Thru Value per case ($)]])+Table156810[[#This Row],[Region 1: Fixed Fee Per Case ($)]]</f>
        <v>0</v>
      </c>
      <c r="S62" s="21" t="e">
        <f>(Table156810[[#This Row],[Commercial Bid Price per case for NOI ($)]]+Table156810[[#This Row],[Region 1: Fixed Fee Per Case ($)]])/Table156810[[#This Row],['# of CN Servings per case]]</f>
        <v>#DIV/0!</v>
      </c>
      <c r="T62" s="120" t="e">
        <f>Table156810[[#This Row],[Total Cost Per Serving (N+O)/I]]*Table156810[[#This Row],[Estimated Servings Annual]]</f>
        <v>#DIV/0!</v>
      </c>
      <c r="U62" s="106">
        <f>(Table156810[[#This Row],[Commercial Bid Price per case for NOI ($)]]-Table156810[[#This Row],[Pass-Thru Value per case ($)]])+Table156810[[#This Row],[Region 2: Fixed Fee Per Case ($)]]</f>
        <v>0</v>
      </c>
      <c r="V62" s="25" t="e">
        <f>(Table156810[[#This Row],[Commercial Bid Price per case for NOI ($)]]+Table156810[[#This Row],[Region 2: Fixed Fee Per Case ($)]])/Table156810[[#This Row],['# of CN Servings per case]]</f>
        <v>#DIV/0!</v>
      </c>
      <c r="W62" s="23" t="e">
        <f>Table156810[[#This Row],[Total Cost Per Serving (N+P)/I]]*Table156810[[#This Row],[Estimated Servings Annual]]</f>
        <v>#DIV/0!</v>
      </c>
    </row>
    <row r="63" spans="1:23" x14ac:dyDescent="0.25">
      <c r="A63" s="39" t="s">
        <v>72</v>
      </c>
      <c r="B63" s="62" t="s">
        <v>118</v>
      </c>
      <c r="C63" s="28" t="s">
        <v>111</v>
      </c>
      <c r="D63" s="29"/>
      <c r="E63" s="29"/>
      <c r="F63" s="29"/>
      <c r="G63" s="29"/>
      <c r="H63" s="29"/>
      <c r="I63" s="29"/>
      <c r="J63" s="95">
        <v>150000</v>
      </c>
      <c r="K63" s="29"/>
      <c r="L63" s="29"/>
      <c r="M63" s="29"/>
      <c r="N63" s="29"/>
      <c r="O63" s="29"/>
      <c r="P63" s="29"/>
      <c r="Q63" s="112"/>
      <c r="R63" s="114">
        <f>(Table156810[[#This Row],[Commercial Bid Price per case for NOI ($)]]-Table156810[[#This Row],[Pass-Thru Value per case ($)]])+Table156810[[#This Row],[Region 1: Fixed Fee Per Case ($)]]</f>
        <v>0</v>
      </c>
      <c r="S63" s="126" t="e">
        <f>(Table156810[[#This Row],[Commercial Bid Price per case for NOI ($)]]+Table156810[[#This Row],[Region 1: Fixed Fee Per Case ($)]])/Table156810[[#This Row],['# of CN Servings per case]]</f>
        <v>#DIV/0!</v>
      </c>
      <c r="T63" s="116" t="e">
        <f>Table156810[[#This Row],[Total Cost Per Serving (N+O)/I]]*Table156810[[#This Row],[Estimated Servings Annual]]</f>
        <v>#DIV/0!</v>
      </c>
      <c r="U63" s="122">
        <f>(Table156810[[#This Row],[Commercial Bid Price per case for NOI ($)]]-Table156810[[#This Row],[Pass-Thru Value per case ($)]])+Table156810[[#This Row],[Region 2: Fixed Fee Per Case ($)]]</f>
        <v>0</v>
      </c>
      <c r="V63" s="35" t="e">
        <f>(Table156810[[#This Row],[Commercial Bid Price per case for NOI ($)]]+Table156810[[#This Row],[Region 2: Fixed Fee Per Case ($)]])/Table156810[[#This Row],['# of CN Servings per case]]</f>
        <v>#DIV/0!</v>
      </c>
      <c r="W63" s="36" t="e">
        <f>Table156810[[#This Row],[Total Cost Per Serving (N+P)/I]]*Table156810[[#This Row],[Estimated Servings Annual]]</f>
        <v>#DIV/0!</v>
      </c>
    </row>
    <row r="64" spans="1:23" x14ac:dyDescent="0.25">
      <c r="A64" s="45" t="s">
        <v>72</v>
      </c>
      <c r="B64" s="61" t="s">
        <v>118</v>
      </c>
      <c r="C64" s="6" t="s">
        <v>111</v>
      </c>
      <c r="D64" s="7"/>
      <c r="E64" s="7"/>
      <c r="F64" s="7"/>
      <c r="G64" s="7"/>
      <c r="H64" s="7"/>
      <c r="I64" s="7"/>
      <c r="J64" s="95">
        <v>150000</v>
      </c>
      <c r="K64" s="7"/>
      <c r="L64" s="7"/>
      <c r="M64" s="7"/>
      <c r="N64" s="7"/>
      <c r="O64" s="7"/>
      <c r="P64" s="7"/>
      <c r="Q64" s="110"/>
      <c r="R64" s="105">
        <f>(Table156810[[#This Row],[Commercial Bid Price per case for NOI ($)]]-Table156810[[#This Row],[Pass-Thru Value per case ($)]])+Table156810[[#This Row],[Region 1: Fixed Fee Per Case ($)]]</f>
        <v>0</v>
      </c>
      <c r="S64" s="18" t="e">
        <f>(Table156810[[#This Row],[Commercial Bid Price per case for NOI ($)]]+Table156810[[#This Row],[Region 1: Fixed Fee Per Case ($)]])/Table156810[[#This Row],['# of CN Servings per case]]</f>
        <v>#DIV/0!</v>
      </c>
      <c r="T64" s="118" t="e">
        <f>Table156810[[#This Row],[Total Cost Per Serving (N+O)/I]]*Table156810[[#This Row],[Estimated Servings Annual]]</f>
        <v>#DIV/0!</v>
      </c>
      <c r="U64" s="105">
        <f>(Table156810[[#This Row],[Commercial Bid Price per case for NOI ($)]]-Table156810[[#This Row],[Pass-Thru Value per case ($)]])+Table156810[[#This Row],[Region 2: Fixed Fee Per Case ($)]]</f>
        <v>0</v>
      </c>
      <c r="V64" s="24" t="e">
        <f>(Table156810[[#This Row],[Commercial Bid Price per case for NOI ($)]]+Table156810[[#This Row],[Region 2: Fixed Fee Per Case ($)]])/Table156810[[#This Row],['# of CN Servings per case]]</f>
        <v>#DIV/0!</v>
      </c>
      <c r="W64" s="20" t="e">
        <f>Table156810[[#This Row],[Total Cost Per Serving (N+P)/I]]*Table156810[[#This Row],[Estimated Servings Annual]]</f>
        <v>#DIV/0!</v>
      </c>
    </row>
    <row r="65" spans="1:23" x14ac:dyDescent="0.25">
      <c r="A65" s="39" t="s">
        <v>72</v>
      </c>
      <c r="B65" s="43" t="s">
        <v>118</v>
      </c>
      <c r="C65" s="6" t="s">
        <v>112</v>
      </c>
      <c r="D65" s="7"/>
      <c r="E65" s="7"/>
      <c r="F65" s="7"/>
      <c r="G65" s="7"/>
      <c r="H65" s="7"/>
      <c r="I65" s="7"/>
      <c r="J65" s="95">
        <v>150000</v>
      </c>
      <c r="K65" s="7"/>
      <c r="L65" s="7"/>
      <c r="M65" s="7"/>
      <c r="N65" s="7"/>
      <c r="O65" s="7"/>
      <c r="P65" s="7"/>
      <c r="Q65" s="110"/>
      <c r="R65" s="105">
        <f>(Table156810[[#This Row],[Commercial Bid Price per case for NOI ($)]]-Table156810[[#This Row],[Pass-Thru Value per case ($)]])+Table156810[[#This Row],[Region 1: Fixed Fee Per Case ($)]]</f>
        <v>0</v>
      </c>
      <c r="S65" s="127" t="e">
        <f>(Table156810[[#This Row],[Commercial Bid Price per case for NOI ($)]]+Table156810[[#This Row],[Region 1: Fixed Fee Per Case ($)]])/Table156810[[#This Row],['# of CN Servings per case]]</f>
        <v>#DIV/0!</v>
      </c>
      <c r="T65" s="118" t="e">
        <f>Table156810[[#This Row],[Total Cost Per Serving (N+O)/I]]*Table156810[[#This Row],[Estimated Servings Annual]]</f>
        <v>#DIV/0!</v>
      </c>
      <c r="U65" s="117">
        <f>(Table156810[[#This Row],[Commercial Bid Price per case for NOI ($)]]-Table156810[[#This Row],[Pass-Thru Value per case ($)]])+Table156810[[#This Row],[Region 2: Fixed Fee Per Case ($)]]</f>
        <v>0</v>
      </c>
      <c r="V65" s="26" t="e">
        <f>(Table156810[[#This Row],[Commercial Bid Price per case for NOI ($)]]+Table156810[[#This Row],[Region 2: Fixed Fee Per Case ($)]])/Table156810[[#This Row],['# of CN Servings per case]]</f>
        <v>#DIV/0!</v>
      </c>
      <c r="W65" s="32" t="e">
        <f>Table156810[[#This Row],[Total Cost Per Serving (N+P)/I]]*Table156810[[#This Row],[Estimated Servings Annual]]</f>
        <v>#DIV/0!</v>
      </c>
    </row>
    <row r="66" spans="1:23" x14ac:dyDescent="0.25">
      <c r="A66" s="39" t="s">
        <v>72</v>
      </c>
      <c r="B66" s="43" t="s">
        <v>118</v>
      </c>
      <c r="C66" s="6" t="s">
        <v>112</v>
      </c>
      <c r="D66" s="7"/>
      <c r="E66" s="7"/>
      <c r="F66" s="7"/>
      <c r="G66" s="7"/>
      <c r="H66" s="7"/>
      <c r="I66" s="7"/>
      <c r="J66" s="95">
        <v>150000</v>
      </c>
      <c r="K66" s="7"/>
      <c r="L66" s="7"/>
      <c r="M66" s="7"/>
      <c r="N66" s="7"/>
      <c r="O66" s="7"/>
      <c r="P66" s="7"/>
      <c r="Q66" s="110"/>
      <c r="R66" s="105">
        <f>(Table156810[[#This Row],[Commercial Bid Price per case for NOI ($)]]-Table156810[[#This Row],[Pass-Thru Value per case ($)]])+Table156810[[#This Row],[Region 1: Fixed Fee Per Case ($)]]</f>
        <v>0</v>
      </c>
      <c r="S66" s="127" t="e">
        <f>(Table156810[[#This Row],[Commercial Bid Price per case for NOI ($)]]+Table156810[[#This Row],[Region 1: Fixed Fee Per Case ($)]])/Table156810[[#This Row],['# of CN Servings per case]]</f>
        <v>#DIV/0!</v>
      </c>
      <c r="T66" s="118" t="e">
        <f>Table156810[[#This Row],[Total Cost Per Serving (N+O)/I]]*Table156810[[#This Row],[Estimated Servings Annual]]</f>
        <v>#DIV/0!</v>
      </c>
      <c r="U66" s="117">
        <f>(Table156810[[#This Row],[Commercial Bid Price per case for NOI ($)]]-Table156810[[#This Row],[Pass-Thru Value per case ($)]])+Table156810[[#This Row],[Region 2: Fixed Fee Per Case ($)]]</f>
        <v>0</v>
      </c>
      <c r="V66" s="26" t="e">
        <f>(Table156810[[#This Row],[Commercial Bid Price per case for NOI ($)]]+Table156810[[#This Row],[Region 2: Fixed Fee Per Case ($)]])/Table156810[[#This Row],['# of CN Servings per case]]</f>
        <v>#DIV/0!</v>
      </c>
      <c r="W66" s="32" t="e">
        <f>Table156810[[#This Row],[Total Cost Per Serving (N+P)/I]]*Table156810[[#This Row],[Estimated Servings Annual]]</f>
        <v>#DIV/0!</v>
      </c>
    </row>
    <row r="67" spans="1:23" x14ac:dyDescent="0.25">
      <c r="A67" s="39" t="s">
        <v>72</v>
      </c>
      <c r="B67" s="43" t="s">
        <v>118</v>
      </c>
      <c r="C67" s="6" t="s">
        <v>113</v>
      </c>
      <c r="D67" s="7"/>
      <c r="E67" s="7"/>
      <c r="F67" s="7"/>
      <c r="G67" s="7"/>
      <c r="H67" s="7"/>
      <c r="I67" s="7"/>
      <c r="J67" s="95">
        <v>150000</v>
      </c>
      <c r="K67" s="7"/>
      <c r="L67" s="7"/>
      <c r="M67" s="7"/>
      <c r="N67" s="7"/>
      <c r="O67" s="7"/>
      <c r="P67" s="7"/>
      <c r="Q67" s="110"/>
      <c r="R67" s="105">
        <f>(Table156810[[#This Row],[Commercial Bid Price per case for NOI ($)]]-Table156810[[#This Row],[Pass-Thru Value per case ($)]])+Table156810[[#This Row],[Region 1: Fixed Fee Per Case ($)]]</f>
        <v>0</v>
      </c>
      <c r="S67" s="127" t="e">
        <f>(Table156810[[#This Row],[Commercial Bid Price per case for NOI ($)]]+Table156810[[#This Row],[Region 1: Fixed Fee Per Case ($)]])/Table156810[[#This Row],['# of CN Servings per case]]</f>
        <v>#DIV/0!</v>
      </c>
      <c r="T67" s="118" t="e">
        <f>Table156810[[#This Row],[Total Cost Per Serving (N+O)/I]]*Table156810[[#This Row],[Estimated Servings Annual]]</f>
        <v>#DIV/0!</v>
      </c>
      <c r="U67" s="117">
        <f>(Table156810[[#This Row],[Commercial Bid Price per case for NOI ($)]]-Table156810[[#This Row],[Pass-Thru Value per case ($)]])+Table156810[[#This Row],[Region 2: Fixed Fee Per Case ($)]]</f>
        <v>0</v>
      </c>
      <c r="V67" s="26" t="e">
        <f>(Table156810[[#This Row],[Commercial Bid Price per case for NOI ($)]]+Table156810[[#This Row],[Region 2: Fixed Fee Per Case ($)]])/Table156810[[#This Row],['# of CN Servings per case]]</f>
        <v>#DIV/0!</v>
      </c>
      <c r="W67" s="32" t="e">
        <f>Table156810[[#This Row],[Total Cost Per Serving (N+P)/I]]*Table156810[[#This Row],[Estimated Servings Annual]]</f>
        <v>#DIV/0!</v>
      </c>
    </row>
    <row r="68" spans="1:23" x14ac:dyDescent="0.25">
      <c r="A68" s="39" t="s">
        <v>72</v>
      </c>
      <c r="B68" s="43" t="s">
        <v>118</v>
      </c>
      <c r="C68" s="6" t="s">
        <v>113</v>
      </c>
      <c r="D68" s="7"/>
      <c r="E68" s="7"/>
      <c r="F68" s="7"/>
      <c r="G68" s="7"/>
      <c r="H68" s="7"/>
      <c r="I68" s="7"/>
      <c r="J68" s="95">
        <v>150000</v>
      </c>
      <c r="K68" s="7"/>
      <c r="L68" s="7"/>
      <c r="M68" s="7"/>
      <c r="N68" s="7"/>
      <c r="O68" s="7"/>
      <c r="P68" s="7"/>
      <c r="Q68" s="110"/>
      <c r="R68" s="105">
        <f>(Table156810[[#This Row],[Commercial Bid Price per case for NOI ($)]]-Table156810[[#This Row],[Pass-Thru Value per case ($)]])+Table156810[[#This Row],[Region 1: Fixed Fee Per Case ($)]]</f>
        <v>0</v>
      </c>
      <c r="S68" s="127" t="e">
        <f>(Table156810[[#This Row],[Commercial Bid Price per case for NOI ($)]]+Table156810[[#This Row],[Region 1: Fixed Fee Per Case ($)]])/Table156810[[#This Row],['# of CN Servings per case]]</f>
        <v>#DIV/0!</v>
      </c>
      <c r="T68" s="118" t="e">
        <f>Table156810[[#This Row],[Total Cost Per Serving (N+O)/I]]*Table156810[[#This Row],[Estimated Servings Annual]]</f>
        <v>#DIV/0!</v>
      </c>
      <c r="U68" s="117">
        <f>(Table156810[[#This Row],[Commercial Bid Price per case for NOI ($)]]-Table156810[[#This Row],[Pass-Thru Value per case ($)]])+Table156810[[#This Row],[Region 2: Fixed Fee Per Case ($)]]</f>
        <v>0</v>
      </c>
      <c r="V68" s="26" t="e">
        <f>(Table156810[[#This Row],[Commercial Bid Price per case for NOI ($)]]+Table156810[[#This Row],[Region 2: Fixed Fee Per Case ($)]])/Table156810[[#This Row],['# of CN Servings per case]]</f>
        <v>#DIV/0!</v>
      </c>
      <c r="W68" s="32" t="e">
        <f>Table156810[[#This Row],[Total Cost Per Serving (N+P)/I]]*Table156810[[#This Row],[Estimated Servings Annual]]</f>
        <v>#DIV/0!</v>
      </c>
    </row>
    <row r="69" spans="1:23" x14ac:dyDescent="0.25">
      <c r="A69" s="39" t="s">
        <v>72</v>
      </c>
      <c r="B69" s="43" t="s">
        <v>118</v>
      </c>
      <c r="C69" s="7" t="s">
        <v>13</v>
      </c>
      <c r="D69" s="7"/>
      <c r="E69" s="7"/>
      <c r="F69" s="7"/>
      <c r="G69" s="7"/>
      <c r="H69" s="7"/>
      <c r="I69" s="7"/>
      <c r="J69" s="95">
        <v>150000</v>
      </c>
      <c r="K69" s="7"/>
      <c r="L69" s="7"/>
      <c r="M69" s="7"/>
      <c r="N69" s="7"/>
      <c r="O69" s="7"/>
      <c r="P69" s="7"/>
      <c r="Q69" s="110"/>
      <c r="R69" s="105">
        <f>(Table156810[[#This Row],[Commercial Bid Price per case for NOI ($)]]-Table156810[[#This Row],[Pass-Thru Value per case ($)]])+Table156810[[#This Row],[Region 1: Fixed Fee Per Case ($)]]</f>
        <v>0</v>
      </c>
      <c r="S69" s="127" t="e">
        <f>(Table156810[[#This Row],[Commercial Bid Price per case for NOI ($)]]+Table156810[[#This Row],[Region 1: Fixed Fee Per Case ($)]])/Table156810[[#This Row],['# of CN Servings per case]]</f>
        <v>#DIV/0!</v>
      </c>
      <c r="T69" s="118" t="e">
        <f>Table156810[[#This Row],[Total Cost Per Serving (N+O)/I]]*Table156810[[#This Row],[Estimated Servings Annual]]</f>
        <v>#DIV/0!</v>
      </c>
      <c r="U69" s="117">
        <f>(Table156810[[#This Row],[Commercial Bid Price per case for NOI ($)]]-Table156810[[#This Row],[Pass-Thru Value per case ($)]])+Table156810[[#This Row],[Region 2: Fixed Fee Per Case ($)]]</f>
        <v>0</v>
      </c>
      <c r="V69" s="26" t="e">
        <f>(Table156810[[#This Row],[Commercial Bid Price per case for NOI ($)]]+Table156810[[#This Row],[Region 2: Fixed Fee Per Case ($)]])/Table156810[[#This Row],['# of CN Servings per case]]</f>
        <v>#DIV/0!</v>
      </c>
      <c r="W69" s="32" t="e">
        <f>Table156810[[#This Row],[Total Cost Per Serving (N+P)/I]]*Table156810[[#This Row],[Estimated Servings Annual]]</f>
        <v>#DIV/0!</v>
      </c>
    </row>
    <row r="70" spans="1:23" x14ac:dyDescent="0.25">
      <c r="A70" s="39" t="s">
        <v>72</v>
      </c>
      <c r="B70" s="43" t="s">
        <v>118</v>
      </c>
      <c r="C70" s="7" t="s">
        <v>13</v>
      </c>
      <c r="D70" s="7"/>
      <c r="E70" s="7"/>
      <c r="F70" s="7"/>
      <c r="G70" s="7"/>
      <c r="H70" s="7"/>
      <c r="I70" s="7"/>
      <c r="J70" s="95">
        <v>150000</v>
      </c>
      <c r="K70" s="7"/>
      <c r="L70" s="7"/>
      <c r="M70" s="7"/>
      <c r="N70" s="7"/>
      <c r="O70" s="7"/>
      <c r="P70" s="7"/>
      <c r="Q70" s="110"/>
      <c r="R70" s="105">
        <f>(Table156810[[#This Row],[Commercial Bid Price per case for NOI ($)]]-Table156810[[#This Row],[Pass-Thru Value per case ($)]])+Table156810[[#This Row],[Region 1: Fixed Fee Per Case ($)]]</f>
        <v>0</v>
      </c>
      <c r="S70" s="127" t="e">
        <f>(Table156810[[#This Row],[Commercial Bid Price per case for NOI ($)]]+Table156810[[#This Row],[Region 1: Fixed Fee Per Case ($)]])/Table156810[[#This Row],['# of CN Servings per case]]</f>
        <v>#DIV/0!</v>
      </c>
      <c r="T70" s="118" t="e">
        <f>Table156810[[#This Row],[Total Cost Per Serving (N+O)/I]]*Table156810[[#This Row],[Estimated Servings Annual]]</f>
        <v>#DIV/0!</v>
      </c>
      <c r="U70" s="117">
        <f>(Table156810[[#This Row],[Commercial Bid Price per case for NOI ($)]]-Table156810[[#This Row],[Pass-Thru Value per case ($)]])+Table156810[[#This Row],[Region 2: Fixed Fee Per Case ($)]]</f>
        <v>0</v>
      </c>
      <c r="V70" s="26" t="e">
        <f>(Table156810[[#This Row],[Commercial Bid Price per case for NOI ($)]]+Table156810[[#This Row],[Region 2: Fixed Fee Per Case ($)]])/Table156810[[#This Row],['# of CN Servings per case]]</f>
        <v>#DIV/0!</v>
      </c>
      <c r="W70" s="32" t="e">
        <f>Table156810[[#This Row],[Total Cost Per Serving (N+P)/I]]*Table156810[[#This Row],[Estimated Servings Annual]]</f>
        <v>#DIV/0!</v>
      </c>
    </row>
    <row r="71" spans="1:23" x14ac:dyDescent="0.25">
      <c r="A71" s="39" t="s">
        <v>72</v>
      </c>
      <c r="B71" s="43" t="s">
        <v>118</v>
      </c>
      <c r="C71" s="7" t="s">
        <v>13</v>
      </c>
      <c r="D71" s="7"/>
      <c r="E71" s="7"/>
      <c r="F71" s="7"/>
      <c r="G71" s="7"/>
      <c r="H71" s="7"/>
      <c r="I71" s="7"/>
      <c r="J71" s="95">
        <v>150000</v>
      </c>
      <c r="K71" s="7"/>
      <c r="L71" s="7"/>
      <c r="M71" s="7"/>
      <c r="N71" s="7"/>
      <c r="O71" s="7"/>
      <c r="P71" s="7"/>
      <c r="Q71" s="110"/>
      <c r="R71" s="105">
        <f>(Table156810[[#This Row],[Commercial Bid Price per case for NOI ($)]]-Table156810[[#This Row],[Pass-Thru Value per case ($)]])+Table156810[[#This Row],[Region 1: Fixed Fee Per Case ($)]]</f>
        <v>0</v>
      </c>
      <c r="S71" s="127" t="e">
        <f>(Table156810[[#This Row],[Commercial Bid Price per case for NOI ($)]]+Table156810[[#This Row],[Region 1: Fixed Fee Per Case ($)]])/Table156810[[#This Row],['# of CN Servings per case]]</f>
        <v>#DIV/0!</v>
      </c>
      <c r="T71" s="118" t="e">
        <f>Table156810[[#This Row],[Total Cost Per Serving (N+O)/I]]*Table156810[[#This Row],[Estimated Servings Annual]]</f>
        <v>#DIV/0!</v>
      </c>
      <c r="U71" s="117">
        <f>(Table156810[[#This Row],[Commercial Bid Price per case for NOI ($)]]-Table156810[[#This Row],[Pass-Thru Value per case ($)]])+Table156810[[#This Row],[Region 2: Fixed Fee Per Case ($)]]</f>
        <v>0</v>
      </c>
      <c r="V71" s="26" t="e">
        <f>(Table156810[[#This Row],[Commercial Bid Price per case for NOI ($)]]+Table156810[[#This Row],[Region 2: Fixed Fee Per Case ($)]])/Table156810[[#This Row],['# of CN Servings per case]]</f>
        <v>#DIV/0!</v>
      </c>
      <c r="W71" s="32" t="e">
        <f>Table156810[[#This Row],[Total Cost Per Serving (N+P)/I]]*Table156810[[#This Row],[Estimated Servings Annual]]</f>
        <v>#DIV/0!</v>
      </c>
    </row>
    <row r="72" spans="1:23" ht="15.75" thickBot="1" x14ac:dyDescent="0.3">
      <c r="A72" s="40" t="s">
        <v>72</v>
      </c>
      <c r="B72" s="44" t="s">
        <v>118</v>
      </c>
      <c r="C72" s="9" t="s">
        <v>13</v>
      </c>
      <c r="D72" s="9"/>
      <c r="E72" s="9"/>
      <c r="F72" s="9"/>
      <c r="G72" s="9"/>
      <c r="H72" s="9"/>
      <c r="I72" s="9"/>
      <c r="J72" s="95">
        <v>150000</v>
      </c>
      <c r="K72" s="9"/>
      <c r="L72" s="9"/>
      <c r="M72" s="9"/>
      <c r="N72" s="9"/>
      <c r="O72" s="9"/>
      <c r="P72" s="9"/>
      <c r="Q72" s="111"/>
      <c r="R72" s="106">
        <f>(Table156810[[#This Row],[Commercial Bid Price per case for NOI ($)]]-Table156810[[#This Row],[Pass-Thru Value per case ($)]])+Table156810[[#This Row],[Region 1: Fixed Fee Per Case ($)]]</f>
        <v>0</v>
      </c>
      <c r="S72" s="128" t="e">
        <f>(Table156810[[#This Row],[Commercial Bid Price per case for NOI ($)]]+Table156810[[#This Row],[Region 1: Fixed Fee Per Case ($)]])/Table156810[[#This Row],['# of CN Servings per case]]</f>
        <v>#DIV/0!</v>
      </c>
      <c r="T72" s="120" t="e">
        <f>Table156810[[#This Row],[Total Cost Per Serving (N+O)/I]]*Table156810[[#This Row],[Estimated Servings Annual]]</f>
        <v>#DIV/0!</v>
      </c>
      <c r="U72" s="119">
        <f>(Table156810[[#This Row],[Commercial Bid Price per case for NOI ($)]]-Table156810[[#This Row],[Pass-Thru Value per case ($)]])+Table156810[[#This Row],[Region 2: Fixed Fee Per Case ($)]]</f>
        <v>0</v>
      </c>
      <c r="V72" s="27" t="e">
        <f>(Table156810[[#This Row],[Commercial Bid Price per case for NOI ($)]]+Table156810[[#This Row],[Region 2: Fixed Fee Per Case ($)]])/Table156810[[#This Row],['# of CN Servings per case]]</f>
        <v>#DIV/0!</v>
      </c>
      <c r="W72" s="33" t="e">
        <f>Table156810[[#This Row],[Total Cost Per Serving (N+P)/I]]*Table156810[[#This Row],[Estimated Servings Annual]]</f>
        <v>#DIV/0!</v>
      </c>
    </row>
    <row r="73" spans="1:23" x14ac:dyDescent="0.25">
      <c r="A73" s="39" t="s">
        <v>72</v>
      </c>
      <c r="B73" s="42" t="s">
        <v>120</v>
      </c>
      <c r="C73" s="3" t="s">
        <v>111</v>
      </c>
      <c r="D73" s="4"/>
      <c r="E73" s="4"/>
      <c r="F73" s="4"/>
      <c r="G73" s="4"/>
      <c r="H73" s="4"/>
      <c r="I73" s="4"/>
      <c r="J73" s="92">
        <v>300000</v>
      </c>
      <c r="K73" s="4"/>
      <c r="L73" s="4"/>
      <c r="M73" s="4"/>
      <c r="N73" s="4"/>
      <c r="O73" s="4"/>
      <c r="P73" s="4"/>
      <c r="Q73" s="109"/>
      <c r="R73" s="104">
        <f>(Table156810[[#This Row],[Commercial Bid Price per case for NOI ($)]]-Table156810[[#This Row],[Pass-Thru Value per case ($)]])+Table156810[[#This Row],[Region 1: Fixed Fee Per Case ($)]]</f>
        <v>0</v>
      </c>
      <c r="S73" s="15" t="e">
        <f>(Table156810[[#This Row],[Commercial Bid Price per case for NOI ($)]]+Table156810[[#This Row],[Region 1: Fixed Fee Per Case ($)]])/Table156810[[#This Row],['# of CN Servings per case]]</f>
        <v>#DIV/0!</v>
      </c>
      <c r="T73" s="115" t="e">
        <f>Table156810[[#This Row],[Total Cost Per Serving (N+O)/I]]*Table156810[[#This Row],[Estimated Servings Annual]]</f>
        <v>#DIV/0!</v>
      </c>
      <c r="U73" s="104">
        <f>(Table156810[[#This Row],[Commercial Bid Price per case for NOI ($)]]-Table156810[[#This Row],[Pass-Thru Value per case ($)]])+Table156810[[#This Row],[Region 2: Fixed Fee Per Case ($)]]</f>
        <v>0</v>
      </c>
      <c r="V73" s="31" t="e">
        <f>(Table156810[[#This Row],[Commercial Bid Price per case for NOI ($)]]+Table156810[[#This Row],[Region 2: Fixed Fee Per Case ($)]])/Table156810[[#This Row],['# of CN Servings per case]]</f>
        <v>#DIV/0!</v>
      </c>
      <c r="W73" s="17" t="e">
        <f>Table156810[[#This Row],[Total Cost Per Serving (N+P)/I]]*Table156810[[#This Row],[Estimated Servings Annual]]</f>
        <v>#DIV/0!</v>
      </c>
    </row>
    <row r="74" spans="1:23" x14ac:dyDescent="0.25">
      <c r="A74" s="39" t="s">
        <v>72</v>
      </c>
      <c r="B74" s="43" t="s">
        <v>120</v>
      </c>
      <c r="C74" s="6" t="s">
        <v>111</v>
      </c>
      <c r="D74" s="7"/>
      <c r="E74" s="7"/>
      <c r="F74" s="7"/>
      <c r="G74" s="7"/>
      <c r="H74" s="7"/>
      <c r="I74" s="7"/>
      <c r="J74" s="93">
        <v>300000</v>
      </c>
      <c r="K74" s="7"/>
      <c r="L74" s="7"/>
      <c r="M74" s="7"/>
      <c r="N74" s="7"/>
      <c r="O74" s="7"/>
      <c r="P74" s="7"/>
      <c r="Q74" s="110"/>
      <c r="R74" s="105">
        <f>(Table156810[[#This Row],[Commercial Bid Price per case for NOI ($)]]-Table156810[[#This Row],[Pass-Thru Value per case ($)]])+Table156810[[#This Row],[Region 1: Fixed Fee Per Case ($)]]</f>
        <v>0</v>
      </c>
      <c r="S74" s="18" t="e">
        <f>(Table156810[[#This Row],[Commercial Bid Price per case for NOI ($)]]+Table156810[[#This Row],[Region 1: Fixed Fee Per Case ($)]])/Table156810[[#This Row],['# of CN Servings per case]]</f>
        <v>#DIV/0!</v>
      </c>
      <c r="T74" s="118" t="e">
        <f>Table156810[[#This Row],[Total Cost Per Serving (N+O)/I]]*Table156810[[#This Row],[Estimated Servings Annual]]</f>
        <v>#DIV/0!</v>
      </c>
      <c r="U74" s="105">
        <f>(Table156810[[#This Row],[Commercial Bid Price per case for NOI ($)]]-Table156810[[#This Row],[Pass-Thru Value per case ($)]])+Table156810[[#This Row],[Region 2: Fixed Fee Per Case ($)]]</f>
        <v>0</v>
      </c>
      <c r="V74" s="24" t="e">
        <f>(Table156810[[#This Row],[Commercial Bid Price per case for NOI ($)]]+Table156810[[#This Row],[Region 2: Fixed Fee Per Case ($)]])/Table156810[[#This Row],['# of CN Servings per case]]</f>
        <v>#DIV/0!</v>
      </c>
      <c r="W74" s="20" t="e">
        <f>Table156810[[#This Row],[Total Cost Per Serving (N+P)/I]]*Table156810[[#This Row],[Estimated Servings Annual]]</f>
        <v>#DIV/0!</v>
      </c>
    </row>
    <row r="75" spans="1:23" x14ac:dyDescent="0.25">
      <c r="A75" s="45" t="s">
        <v>72</v>
      </c>
      <c r="B75" s="61" t="s">
        <v>120</v>
      </c>
      <c r="C75" s="6" t="s">
        <v>112</v>
      </c>
      <c r="D75" s="7"/>
      <c r="E75" s="7"/>
      <c r="F75" s="7"/>
      <c r="G75" s="7"/>
      <c r="H75" s="7"/>
      <c r="I75" s="7"/>
      <c r="J75" s="93">
        <v>300000</v>
      </c>
      <c r="K75" s="7"/>
      <c r="L75" s="7"/>
      <c r="M75" s="7"/>
      <c r="N75" s="7"/>
      <c r="O75" s="7"/>
      <c r="P75" s="7"/>
      <c r="Q75" s="110"/>
      <c r="R75" s="105">
        <f>(Table156810[[#This Row],[Commercial Bid Price per case for NOI ($)]]-Table156810[[#This Row],[Pass-Thru Value per case ($)]])+Table156810[[#This Row],[Region 1: Fixed Fee Per Case ($)]]</f>
        <v>0</v>
      </c>
      <c r="S75" s="18" t="e">
        <f>(Table156810[[#This Row],[Commercial Bid Price per case for NOI ($)]]+Table156810[[#This Row],[Region 1: Fixed Fee Per Case ($)]])/Table156810[[#This Row],['# of CN Servings per case]]</f>
        <v>#DIV/0!</v>
      </c>
      <c r="T75" s="118" t="e">
        <f>Table156810[[#This Row],[Total Cost Per Serving (N+O)/I]]*Table156810[[#This Row],[Estimated Servings Annual]]</f>
        <v>#DIV/0!</v>
      </c>
      <c r="U75" s="105">
        <f>(Table156810[[#This Row],[Commercial Bid Price per case for NOI ($)]]-Table156810[[#This Row],[Pass-Thru Value per case ($)]])+Table156810[[#This Row],[Region 2: Fixed Fee Per Case ($)]]</f>
        <v>0</v>
      </c>
      <c r="V75" s="24" t="e">
        <f>(Table156810[[#This Row],[Commercial Bid Price per case for NOI ($)]]+Table156810[[#This Row],[Region 2: Fixed Fee Per Case ($)]])/Table156810[[#This Row],['# of CN Servings per case]]</f>
        <v>#DIV/0!</v>
      </c>
      <c r="W75" s="20" t="e">
        <f>Table156810[[#This Row],[Total Cost Per Serving (N+P)/I]]*Table156810[[#This Row],[Estimated Servings Annual]]</f>
        <v>#DIV/0!</v>
      </c>
    </row>
    <row r="76" spans="1:23" x14ac:dyDescent="0.25">
      <c r="A76" s="45" t="s">
        <v>72</v>
      </c>
      <c r="B76" s="61" t="s">
        <v>120</v>
      </c>
      <c r="C76" s="6" t="s">
        <v>112</v>
      </c>
      <c r="D76" s="7"/>
      <c r="E76" s="7"/>
      <c r="F76" s="7"/>
      <c r="G76" s="7"/>
      <c r="H76" s="7"/>
      <c r="I76" s="7"/>
      <c r="J76" s="93">
        <v>300000</v>
      </c>
      <c r="K76" s="7"/>
      <c r="L76" s="7"/>
      <c r="M76" s="7"/>
      <c r="N76" s="7"/>
      <c r="O76" s="7"/>
      <c r="P76" s="7"/>
      <c r="Q76" s="110"/>
      <c r="R76" s="105">
        <f>(Table156810[[#This Row],[Commercial Bid Price per case for NOI ($)]]-Table156810[[#This Row],[Pass-Thru Value per case ($)]])+Table156810[[#This Row],[Region 1: Fixed Fee Per Case ($)]]</f>
        <v>0</v>
      </c>
      <c r="S76" s="18" t="e">
        <f>(Table156810[[#This Row],[Commercial Bid Price per case for NOI ($)]]+Table156810[[#This Row],[Region 1: Fixed Fee Per Case ($)]])/Table156810[[#This Row],['# of CN Servings per case]]</f>
        <v>#DIV/0!</v>
      </c>
      <c r="T76" s="118" t="e">
        <f>Table156810[[#This Row],[Total Cost Per Serving (N+O)/I]]*Table156810[[#This Row],[Estimated Servings Annual]]</f>
        <v>#DIV/0!</v>
      </c>
      <c r="U76" s="105">
        <f>(Table156810[[#This Row],[Commercial Bid Price per case for NOI ($)]]-Table156810[[#This Row],[Pass-Thru Value per case ($)]])+Table156810[[#This Row],[Region 2: Fixed Fee Per Case ($)]]</f>
        <v>0</v>
      </c>
      <c r="V76" s="24" t="e">
        <f>(Table156810[[#This Row],[Commercial Bid Price per case for NOI ($)]]+Table156810[[#This Row],[Region 2: Fixed Fee Per Case ($)]])/Table156810[[#This Row],['# of CN Servings per case]]</f>
        <v>#DIV/0!</v>
      </c>
      <c r="W76" s="20" t="e">
        <f>Table156810[[#This Row],[Total Cost Per Serving (N+P)/I]]*Table156810[[#This Row],[Estimated Servings Annual]]</f>
        <v>#DIV/0!</v>
      </c>
    </row>
    <row r="77" spans="1:23" x14ac:dyDescent="0.25">
      <c r="A77" s="39" t="s">
        <v>72</v>
      </c>
      <c r="B77" s="43" t="s">
        <v>120</v>
      </c>
      <c r="C77" s="6" t="s">
        <v>113</v>
      </c>
      <c r="D77" s="7"/>
      <c r="E77" s="7"/>
      <c r="F77" s="7"/>
      <c r="G77" s="7"/>
      <c r="H77" s="7"/>
      <c r="I77" s="7"/>
      <c r="J77" s="93">
        <v>300000</v>
      </c>
      <c r="K77" s="7"/>
      <c r="L77" s="7"/>
      <c r="M77" s="7"/>
      <c r="N77" s="7"/>
      <c r="O77" s="7"/>
      <c r="P77" s="7"/>
      <c r="Q77" s="110"/>
      <c r="R77" s="105">
        <f>(Table156810[[#This Row],[Commercial Bid Price per case for NOI ($)]]-Table156810[[#This Row],[Pass-Thru Value per case ($)]])+Table156810[[#This Row],[Region 1: Fixed Fee Per Case ($)]]</f>
        <v>0</v>
      </c>
      <c r="S77" s="18" t="e">
        <f>(Table156810[[#This Row],[Commercial Bid Price per case for NOI ($)]]+Table156810[[#This Row],[Region 1: Fixed Fee Per Case ($)]])/Table156810[[#This Row],['# of CN Servings per case]]</f>
        <v>#DIV/0!</v>
      </c>
      <c r="T77" s="118" t="e">
        <f>Table156810[[#This Row],[Total Cost Per Serving (N+O)/I]]*Table156810[[#This Row],[Estimated Servings Annual]]</f>
        <v>#DIV/0!</v>
      </c>
      <c r="U77" s="105">
        <f>(Table156810[[#This Row],[Commercial Bid Price per case for NOI ($)]]-Table156810[[#This Row],[Pass-Thru Value per case ($)]])+Table156810[[#This Row],[Region 2: Fixed Fee Per Case ($)]]</f>
        <v>0</v>
      </c>
      <c r="V77" s="24" t="e">
        <f>(Table156810[[#This Row],[Commercial Bid Price per case for NOI ($)]]+Table156810[[#This Row],[Region 2: Fixed Fee Per Case ($)]])/Table156810[[#This Row],['# of CN Servings per case]]</f>
        <v>#DIV/0!</v>
      </c>
      <c r="W77" s="20" t="e">
        <f>Table156810[[#This Row],[Total Cost Per Serving (N+P)/I]]*Table156810[[#This Row],[Estimated Servings Annual]]</f>
        <v>#DIV/0!</v>
      </c>
    </row>
    <row r="78" spans="1:23" x14ac:dyDescent="0.25">
      <c r="A78" s="39" t="s">
        <v>72</v>
      </c>
      <c r="B78" s="43" t="s">
        <v>120</v>
      </c>
      <c r="C78" s="6" t="s">
        <v>113</v>
      </c>
      <c r="D78" s="7"/>
      <c r="E78" s="7"/>
      <c r="F78" s="7"/>
      <c r="G78" s="7"/>
      <c r="H78" s="7"/>
      <c r="I78" s="7"/>
      <c r="J78" s="93">
        <v>300000</v>
      </c>
      <c r="K78" s="7"/>
      <c r="L78" s="7"/>
      <c r="M78" s="7"/>
      <c r="N78" s="7"/>
      <c r="O78" s="7"/>
      <c r="P78" s="7"/>
      <c r="Q78" s="110"/>
      <c r="R78" s="105">
        <f>(Table156810[[#This Row],[Commercial Bid Price per case for NOI ($)]]-Table156810[[#This Row],[Pass-Thru Value per case ($)]])+Table156810[[#This Row],[Region 1: Fixed Fee Per Case ($)]]</f>
        <v>0</v>
      </c>
      <c r="S78" s="18" t="e">
        <f>(Table156810[[#This Row],[Commercial Bid Price per case for NOI ($)]]+Table156810[[#This Row],[Region 1: Fixed Fee Per Case ($)]])/Table156810[[#This Row],['# of CN Servings per case]]</f>
        <v>#DIV/0!</v>
      </c>
      <c r="T78" s="118" t="e">
        <f>Table156810[[#This Row],[Total Cost Per Serving (N+O)/I]]*Table156810[[#This Row],[Estimated Servings Annual]]</f>
        <v>#DIV/0!</v>
      </c>
      <c r="U78" s="105">
        <f>(Table156810[[#This Row],[Commercial Bid Price per case for NOI ($)]]-Table156810[[#This Row],[Pass-Thru Value per case ($)]])+Table156810[[#This Row],[Region 2: Fixed Fee Per Case ($)]]</f>
        <v>0</v>
      </c>
      <c r="V78" s="24" t="e">
        <f>(Table156810[[#This Row],[Commercial Bid Price per case for NOI ($)]]+Table156810[[#This Row],[Region 2: Fixed Fee Per Case ($)]])/Table156810[[#This Row],['# of CN Servings per case]]</f>
        <v>#DIV/0!</v>
      </c>
      <c r="W78" s="20" t="e">
        <f>Table156810[[#This Row],[Total Cost Per Serving (N+P)/I]]*Table156810[[#This Row],[Estimated Servings Annual]]</f>
        <v>#DIV/0!</v>
      </c>
    </row>
    <row r="79" spans="1:23" x14ac:dyDescent="0.25">
      <c r="A79" s="39" t="s">
        <v>72</v>
      </c>
      <c r="B79" s="43" t="s">
        <v>120</v>
      </c>
      <c r="C79" s="7" t="s">
        <v>13</v>
      </c>
      <c r="D79" s="7"/>
      <c r="E79" s="7"/>
      <c r="F79" s="7"/>
      <c r="G79" s="7"/>
      <c r="H79" s="7"/>
      <c r="I79" s="7"/>
      <c r="J79" s="93">
        <v>300000</v>
      </c>
      <c r="K79" s="7"/>
      <c r="L79" s="7"/>
      <c r="M79" s="7"/>
      <c r="N79" s="7"/>
      <c r="O79" s="7"/>
      <c r="P79" s="7"/>
      <c r="Q79" s="110"/>
      <c r="R79" s="105">
        <f>(Table156810[[#This Row],[Commercial Bid Price per case for NOI ($)]]-Table156810[[#This Row],[Pass-Thru Value per case ($)]])+Table156810[[#This Row],[Region 1: Fixed Fee Per Case ($)]]</f>
        <v>0</v>
      </c>
      <c r="S79" s="18" t="e">
        <f>(Table156810[[#This Row],[Commercial Bid Price per case for NOI ($)]]+Table156810[[#This Row],[Region 1: Fixed Fee Per Case ($)]])/Table156810[[#This Row],['# of CN Servings per case]]</f>
        <v>#DIV/0!</v>
      </c>
      <c r="T79" s="118" t="e">
        <f>Table156810[[#This Row],[Total Cost Per Serving (N+O)/I]]*Table156810[[#This Row],[Estimated Servings Annual]]</f>
        <v>#DIV/0!</v>
      </c>
      <c r="U79" s="105">
        <f>(Table156810[[#This Row],[Commercial Bid Price per case for NOI ($)]]-Table156810[[#This Row],[Pass-Thru Value per case ($)]])+Table156810[[#This Row],[Region 2: Fixed Fee Per Case ($)]]</f>
        <v>0</v>
      </c>
      <c r="V79" s="24" t="e">
        <f>(Table156810[[#This Row],[Commercial Bid Price per case for NOI ($)]]+Table156810[[#This Row],[Region 2: Fixed Fee Per Case ($)]])/Table156810[[#This Row],['# of CN Servings per case]]</f>
        <v>#DIV/0!</v>
      </c>
      <c r="W79" s="20" t="e">
        <f>Table156810[[#This Row],[Total Cost Per Serving (N+P)/I]]*Table156810[[#This Row],[Estimated Servings Annual]]</f>
        <v>#DIV/0!</v>
      </c>
    </row>
    <row r="80" spans="1:23" x14ac:dyDescent="0.25">
      <c r="A80" s="39" t="s">
        <v>72</v>
      </c>
      <c r="B80" s="43" t="s">
        <v>120</v>
      </c>
      <c r="C80" s="7" t="s">
        <v>13</v>
      </c>
      <c r="D80" s="7"/>
      <c r="E80" s="7"/>
      <c r="F80" s="7"/>
      <c r="G80" s="7"/>
      <c r="H80" s="7"/>
      <c r="I80" s="7"/>
      <c r="J80" s="93">
        <v>300000</v>
      </c>
      <c r="K80" s="7"/>
      <c r="L80" s="7"/>
      <c r="M80" s="7"/>
      <c r="N80" s="7"/>
      <c r="O80" s="7"/>
      <c r="P80" s="7"/>
      <c r="Q80" s="110"/>
      <c r="R80" s="105">
        <f>(Table156810[[#This Row],[Commercial Bid Price per case for NOI ($)]]-Table156810[[#This Row],[Pass-Thru Value per case ($)]])+Table156810[[#This Row],[Region 1: Fixed Fee Per Case ($)]]</f>
        <v>0</v>
      </c>
      <c r="S80" s="18" t="e">
        <f>(Table156810[[#This Row],[Commercial Bid Price per case for NOI ($)]]+Table156810[[#This Row],[Region 1: Fixed Fee Per Case ($)]])/Table156810[[#This Row],['# of CN Servings per case]]</f>
        <v>#DIV/0!</v>
      </c>
      <c r="T80" s="118" t="e">
        <f>Table156810[[#This Row],[Total Cost Per Serving (N+O)/I]]*Table156810[[#This Row],[Estimated Servings Annual]]</f>
        <v>#DIV/0!</v>
      </c>
      <c r="U80" s="105">
        <f>(Table156810[[#This Row],[Commercial Bid Price per case for NOI ($)]]-Table156810[[#This Row],[Pass-Thru Value per case ($)]])+Table156810[[#This Row],[Region 2: Fixed Fee Per Case ($)]]</f>
        <v>0</v>
      </c>
      <c r="V80" s="24" t="e">
        <f>(Table156810[[#This Row],[Commercial Bid Price per case for NOI ($)]]+Table156810[[#This Row],[Region 2: Fixed Fee Per Case ($)]])/Table156810[[#This Row],['# of CN Servings per case]]</f>
        <v>#DIV/0!</v>
      </c>
      <c r="W80" s="20" t="e">
        <f>Table156810[[#This Row],[Total Cost Per Serving (N+P)/I]]*Table156810[[#This Row],[Estimated Servings Annual]]</f>
        <v>#DIV/0!</v>
      </c>
    </row>
    <row r="81" spans="1:23" x14ac:dyDescent="0.25">
      <c r="A81" s="39" t="s">
        <v>72</v>
      </c>
      <c r="B81" s="43" t="s">
        <v>120</v>
      </c>
      <c r="C81" s="7" t="s">
        <v>13</v>
      </c>
      <c r="D81" s="7"/>
      <c r="E81" s="7"/>
      <c r="F81" s="7"/>
      <c r="G81" s="7"/>
      <c r="H81" s="7"/>
      <c r="I81" s="7"/>
      <c r="J81" s="93">
        <v>300000</v>
      </c>
      <c r="K81" s="7"/>
      <c r="L81" s="7"/>
      <c r="M81" s="7"/>
      <c r="N81" s="7"/>
      <c r="O81" s="7"/>
      <c r="P81" s="7"/>
      <c r="Q81" s="110"/>
      <c r="R81" s="105">
        <f>(Table156810[[#This Row],[Commercial Bid Price per case for NOI ($)]]-Table156810[[#This Row],[Pass-Thru Value per case ($)]])+Table156810[[#This Row],[Region 1: Fixed Fee Per Case ($)]]</f>
        <v>0</v>
      </c>
      <c r="S81" s="18" t="e">
        <f>(Table156810[[#This Row],[Commercial Bid Price per case for NOI ($)]]+Table156810[[#This Row],[Region 1: Fixed Fee Per Case ($)]])/Table156810[[#This Row],['# of CN Servings per case]]</f>
        <v>#DIV/0!</v>
      </c>
      <c r="T81" s="118" t="e">
        <f>Table156810[[#This Row],[Total Cost Per Serving (N+O)/I]]*Table156810[[#This Row],[Estimated Servings Annual]]</f>
        <v>#DIV/0!</v>
      </c>
      <c r="U81" s="105">
        <f>(Table156810[[#This Row],[Commercial Bid Price per case for NOI ($)]]-Table156810[[#This Row],[Pass-Thru Value per case ($)]])+Table156810[[#This Row],[Region 2: Fixed Fee Per Case ($)]]</f>
        <v>0</v>
      </c>
      <c r="V81" s="24" t="e">
        <f>(Table156810[[#This Row],[Commercial Bid Price per case for NOI ($)]]+Table156810[[#This Row],[Region 2: Fixed Fee Per Case ($)]])/Table156810[[#This Row],['# of CN Servings per case]]</f>
        <v>#DIV/0!</v>
      </c>
      <c r="W81" s="20" t="e">
        <f>Table156810[[#This Row],[Total Cost Per Serving (N+P)/I]]*Table156810[[#This Row],[Estimated Servings Annual]]</f>
        <v>#DIV/0!</v>
      </c>
    </row>
    <row r="82" spans="1:23" ht="15.75" thickBot="1" x14ac:dyDescent="0.3">
      <c r="A82" s="40" t="s">
        <v>72</v>
      </c>
      <c r="B82" s="44" t="s">
        <v>120</v>
      </c>
      <c r="C82" s="9" t="s">
        <v>13</v>
      </c>
      <c r="D82" s="9"/>
      <c r="E82" s="9"/>
      <c r="F82" s="9"/>
      <c r="G82" s="9"/>
      <c r="H82" s="9"/>
      <c r="I82" s="9"/>
      <c r="J82" s="94">
        <v>300000</v>
      </c>
      <c r="K82" s="9"/>
      <c r="L82" s="9"/>
      <c r="M82" s="9"/>
      <c r="N82" s="9"/>
      <c r="O82" s="9"/>
      <c r="P82" s="9"/>
      <c r="Q82" s="111"/>
      <c r="R82" s="106">
        <f>(Table156810[[#This Row],[Commercial Bid Price per case for NOI ($)]]-Table156810[[#This Row],[Pass-Thru Value per case ($)]])+Table156810[[#This Row],[Region 1: Fixed Fee Per Case ($)]]</f>
        <v>0</v>
      </c>
      <c r="S82" s="21" t="e">
        <f>(Table156810[[#This Row],[Commercial Bid Price per case for NOI ($)]]+Table156810[[#This Row],[Region 1: Fixed Fee Per Case ($)]])/Table156810[[#This Row],['# of CN Servings per case]]</f>
        <v>#DIV/0!</v>
      </c>
      <c r="T82" s="120" t="e">
        <f>Table156810[[#This Row],[Total Cost Per Serving (N+O)/I]]*Table156810[[#This Row],[Estimated Servings Annual]]</f>
        <v>#DIV/0!</v>
      </c>
      <c r="U82" s="106">
        <f>(Table156810[[#This Row],[Commercial Bid Price per case for NOI ($)]]-Table156810[[#This Row],[Pass-Thru Value per case ($)]])+Table156810[[#This Row],[Region 2: Fixed Fee Per Case ($)]]</f>
        <v>0</v>
      </c>
      <c r="V82" s="25" t="e">
        <f>(Table156810[[#This Row],[Commercial Bid Price per case for NOI ($)]]+Table156810[[#This Row],[Region 2: Fixed Fee Per Case ($)]])/Table156810[[#This Row],['# of CN Servings per case]]</f>
        <v>#DIV/0!</v>
      </c>
      <c r="W82" s="23" t="e">
        <f>Table156810[[#This Row],[Total Cost Per Serving (N+P)/I]]*Table156810[[#This Row],[Estimated Servings Annual]]</f>
        <v>#DIV/0!</v>
      </c>
    </row>
    <row r="83" spans="1:23" x14ac:dyDescent="0.25">
      <c r="A83" s="39" t="s">
        <v>72</v>
      </c>
      <c r="B83" s="42" t="s">
        <v>121</v>
      </c>
      <c r="C83" s="3" t="s">
        <v>111</v>
      </c>
      <c r="D83" s="4"/>
      <c r="E83" s="4"/>
      <c r="F83" s="4"/>
      <c r="G83" s="4"/>
      <c r="H83" s="4"/>
      <c r="I83" s="4"/>
      <c r="J83" s="92">
        <v>100000</v>
      </c>
      <c r="K83" s="4"/>
      <c r="L83" s="4"/>
      <c r="M83" s="4"/>
      <c r="N83" s="4"/>
      <c r="O83" s="4"/>
      <c r="P83" s="4"/>
      <c r="Q83" s="109"/>
      <c r="R83" s="104">
        <f>(Table156810[[#This Row],[Commercial Bid Price per case for NOI ($)]]-Table156810[[#This Row],[Pass-Thru Value per case ($)]])+Table156810[[#This Row],[Region 1: Fixed Fee Per Case ($)]]</f>
        <v>0</v>
      </c>
      <c r="S83" s="15" t="e">
        <f>(Table156810[[#This Row],[Commercial Bid Price per case for NOI ($)]]+Table156810[[#This Row],[Region 1: Fixed Fee Per Case ($)]])/Table156810[[#This Row],['# of CN Servings per case]]</f>
        <v>#DIV/0!</v>
      </c>
      <c r="T83" s="115" t="e">
        <f>Table156810[[#This Row],[Total Cost Per Serving (N+O)/I]]*Table156810[[#This Row],[Estimated Servings Annual]]</f>
        <v>#DIV/0!</v>
      </c>
      <c r="U83" s="104">
        <f>(Table156810[[#This Row],[Commercial Bid Price per case for NOI ($)]]-Table156810[[#This Row],[Pass-Thru Value per case ($)]])+Table156810[[#This Row],[Region 2: Fixed Fee Per Case ($)]]</f>
        <v>0</v>
      </c>
      <c r="V83" s="31" t="e">
        <f>(Table156810[[#This Row],[Commercial Bid Price per case for NOI ($)]]+Table156810[[#This Row],[Region 2: Fixed Fee Per Case ($)]])/Table156810[[#This Row],['# of CN Servings per case]]</f>
        <v>#DIV/0!</v>
      </c>
      <c r="W83" s="17" t="e">
        <f>Table156810[[#This Row],[Total Cost Per Serving (N+P)/I]]*Table156810[[#This Row],[Estimated Servings Annual]]</f>
        <v>#DIV/0!</v>
      </c>
    </row>
    <row r="84" spans="1:23" x14ac:dyDescent="0.25">
      <c r="A84" s="39" t="s">
        <v>72</v>
      </c>
      <c r="B84" s="43" t="s">
        <v>121</v>
      </c>
      <c r="C84" s="6" t="s">
        <v>111</v>
      </c>
      <c r="D84" s="7"/>
      <c r="E84" s="7"/>
      <c r="F84" s="7"/>
      <c r="G84" s="7"/>
      <c r="H84" s="7"/>
      <c r="I84" s="7"/>
      <c r="J84" s="93">
        <v>100000</v>
      </c>
      <c r="K84" s="7"/>
      <c r="L84" s="7"/>
      <c r="M84" s="7"/>
      <c r="N84" s="7"/>
      <c r="O84" s="7"/>
      <c r="P84" s="7"/>
      <c r="Q84" s="110"/>
      <c r="R84" s="105">
        <f>(Table156810[[#This Row],[Commercial Bid Price per case for NOI ($)]]-Table156810[[#This Row],[Pass-Thru Value per case ($)]])+Table156810[[#This Row],[Region 1: Fixed Fee Per Case ($)]]</f>
        <v>0</v>
      </c>
      <c r="S84" s="18" t="e">
        <f>(Table156810[[#This Row],[Commercial Bid Price per case for NOI ($)]]+Table156810[[#This Row],[Region 1: Fixed Fee Per Case ($)]])/Table156810[[#This Row],['# of CN Servings per case]]</f>
        <v>#DIV/0!</v>
      </c>
      <c r="T84" s="118" t="e">
        <f>Table156810[[#This Row],[Total Cost Per Serving (N+O)/I]]*Table156810[[#This Row],[Estimated Servings Annual]]</f>
        <v>#DIV/0!</v>
      </c>
      <c r="U84" s="105">
        <f>(Table156810[[#This Row],[Commercial Bid Price per case for NOI ($)]]-Table156810[[#This Row],[Pass-Thru Value per case ($)]])+Table156810[[#This Row],[Region 2: Fixed Fee Per Case ($)]]</f>
        <v>0</v>
      </c>
      <c r="V84" s="24" t="e">
        <f>(Table156810[[#This Row],[Commercial Bid Price per case for NOI ($)]]+Table156810[[#This Row],[Region 2: Fixed Fee Per Case ($)]])/Table156810[[#This Row],['# of CN Servings per case]]</f>
        <v>#DIV/0!</v>
      </c>
      <c r="W84" s="20" t="e">
        <f>Table156810[[#This Row],[Total Cost Per Serving (N+P)/I]]*Table156810[[#This Row],[Estimated Servings Annual]]</f>
        <v>#DIV/0!</v>
      </c>
    </row>
    <row r="85" spans="1:23" x14ac:dyDescent="0.25">
      <c r="A85" s="45" t="s">
        <v>72</v>
      </c>
      <c r="B85" s="61" t="s">
        <v>121</v>
      </c>
      <c r="C85" s="6" t="s">
        <v>112</v>
      </c>
      <c r="D85" s="7"/>
      <c r="E85" s="7"/>
      <c r="F85" s="7"/>
      <c r="G85" s="7"/>
      <c r="H85" s="7"/>
      <c r="I85" s="7"/>
      <c r="J85" s="93">
        <v>100000</v>
      </c>
      <c r="K85" s="7"/>
      <c r="L85" s="7"/>
      <c r="M85" s="7"/>
      <c r="N85" s="7"/>
      <c r="O85" s="7"/>
      <c r="P85" s="7"/>
      <c r="Q85" s="110"/>
      <c r="R85" s="105">
        <f>(Table156810[[#This Row],[Commercial Bid Price per case for NOI ($)]]-Table156810[[#This Row],[Pass-Thru Value per case ($)]])+Table156810[[#This Row],[Region 1: Fixed Fee Per Case ($)]]</f>
        <v>0</v>
      </c>
      <c r="S85" s="18" t="e">
        <f>(Table156810[[#This Row],[Commercial Bid Price per case for NOI ($)]]+Table156810[[#This Row],[Region 1: Fixed Fee Per Case ($)]])/Table156810[[#This Row],['# of CN Servings per case]]</f>
        <v>#DIV/0!</v>
      </c>
      <c r="T85" s="118" t="e">
        <f>Table156810[[#This Row],[Total Cost Per Serving (N+O)/I]]*Table156810[[#This Row],[Estimated Servings Annual]]</f>
        <v>#DIV/0!</v>
      </c>
      <c r="U85" s="105">
        <f>(Table156810[[#This Row],[Commercial Bid Price per case for NOI ($)]]-Table156810[[#This Row],[Pass-Thru Value per case ($)]])+Table156810[[#This Row],[Region 2: Fixed Fee Per Case ($)]]</f>
        <v>0</v>
      </c>
      <c r="V85" s="24" t="e">
        <f>(Table156810[[#This Row],[Commercial Bid Price per case for NOI ($)]]+Table156810[[#This Row],[Region 2: Fixed Fee Per Case ($)]])/Table156810[[#This Row],['# of CN Servings per case]]</f>
        <v>#DIV/0!</v>
      </c>
      <c r="W85" s="20" t="e">
        <f>Table156810[[#This Row],[Total Cost Per Serving (N+P)/I]]*Table156810[[#This Row],[Estimated Servings Annual]]</f>
        <v>#DIV/0!</v>
      </c>
    </row>
    <row r="86" spans="1:23" x14ac:dyDescent="0.25">
      <c r="A86" s="45" t="s">
        <v>72</v>
      </c>
      <c r="B86" s="61" t="s">
        <v>121</v>
      </c>
      <c r="C86" s="6" t="s">
        <v>112</v>
      </c>
      <c r="D86" s="7"/>
      <c r="E86" s="7"/>
      <c r="F86" s="7"/>
      <c r="G86" s="7"/>
      <c r="H86" s="7"/>
      <c r="I86" s="7"/>
      <c r="J86" s="93">
        <v>100000</v>
      </c>
      <c r="K86" s="7"/>
      <c r="L86" s="7"/>
      <c r="M86" s="7"/>
      <c r="N86" s="7"/>
      <c r="O86" s="7"/>
      <c r="P86" s="7"/>
      <c r="Q86" s="110"/>
      <c r="R86" s="105">
        <f>(Table156810[[#This Row],[Commercial Bid Price per case for NOI ($)]]-Table156810[[#This Row],[Pass-Thru Value per case ($)]])+Table156810[[#This Row],[Region 1: Fixed Fee Per Case ($)]]</f>
        <v>0</v>
      </c>
      <c r="S86" s="18" t="e">
        <f>(Table156810[[#This Row],[Commercial Bid Price per case for NOI ($)]]+Table156810[[#This Row],[Region 1: Fixed Fee Per Case ($)]])/Table156810[[#This Row],['# of CN Servings per case]]</f>
        <v>#DIV/0!</v>
      </c>
      <c r="T86" s="118" t="e">
        <f>Table156810[[#This Row],[Total Cost Per Serving (N+O)/I]]*Table156810[[#This Row],[Estimated Servings Annual]]</f>
        <v>#DIV/0!</v>
      </c>
      <c r="U86" s="105">
        <f>(Table156810[[#This Row],[Commercial Bid Price per case for NOI ($)]]-Table156810[[#This Row],[Pass-Thru Value per case ($)]])+Table156810[[#This Row],[Region 2: Fixed Fee Per Case ($)]]</f>
        <v>0</v>
      </c>
      <c r="V86" s="24" t="e">
        <f>(Table156810[[#This Row],[Commercial Bid Price per case for NOI ($)]]+Table156810[[#This Row],[Region 2: Fixed Fee Per Case ($)]])/Table156810[[#This Row],['# of CN Servings per case]]</f>
        <v>#DIV/0!</v>
      </c>
      <c r="W86" s="20" t="e">
        <f>Table156810[[#This Row],[Total Cost Per Serving (N+P)/I]]*Table156810[[#This Row],[Estimated Servings Annual]]</f>
        <v>#DIV/0!</v>
      </c>
    </row>
    <row r="87" spans="1:23" x14ac:dyDescent="0.25">
      <c r="A87" s="39" t="s">
        <v>72</v>
      </c>
      <c r="B87" s="43" t="s">
        <v>121</v>
      </c>
      <c r="C87" s="6" t="s">
        <v>113</v>
      </c>
      <c r="D87" s="7"/>
      <c r="E87" s="7"/>
      <c r="F87" s="7"/>
      <c r="G87" s="7"/>
      <c r="H87" s="7"/>
      <c r="I87" s="7"/>
      <c r="J87" s="93">
        <v>100000</v>
      </c>
      <c r="K87" s="7"/>
      <c r="L87" s="7"/>
      <c r="M87" s="7"/>
      <c r="N87" s="7"/>
      <c r="O87" s="7"/>
      <c r="P87" s="7"/>
      <c r="Q87" s="110"/>
      <c r="R87" s="105">
        <f>(Table156810[[#This Row],[Commercial Bid Price per case for NOI ($)]]-Table156810[[#This Row],[Pass-Thru Value per case ($)]])+Table156810[[#This Row],[Region 1: Fixed Fee Per Case ($)]]</f>
        <v>0</v>
      </c>
      <c r="S87" s="18" t="e">
        <f>(Table156810[[#This Row],[Commercial Bid Price per case for NOI ($)]]+Table156810[[#This Row],[Region 1: Fixed Fee Per Case ($)]])/Table156810[[#This Row],['# of CN Servings per case]]</f>
        <v>#DIV/0!</v>
      </c>
      <c r="T87" s="118" t="e">
        <f>Table156810[[#This Row],[Total Cost Per Serving (N+O)/I]]*Table156810[[#This Row],[Estimated Servings Annual]]</f>
        <v>#DIV/0!</v>
      </c>
      <c r="U87" s="105">
        <f>(Table156810[[#This Row],[Commercial Bid Price per case for NOI ($)]]-Table156810[[#This Row],[Pass-Thru Value per case ($)]])+Table156810[[#This Row],[Region 2: Fixed Fee Per Case ($)]]</f>
        <v>0</v>
      </c>
      <c r="V87" s="24" t="e">
        <f>(Table156810[[#This Row],[Commercial Bid Price per case for NOI ($)]]+Table156810[[#This Row],[Region 2: Fixed Fee Per Case ($)]])/Table156810[[#This Row],['# of CN Servings per case]]</f>
        <v>#DIV/0!</v>
      </c>
      <c r="W87" s="20" t="e">
        <f>Table156810[[#This Row],[Total Cost Per Serving (N+P)/I]]*Table156810[[#This Row],[Estimated Servings Annual]]</f>
        <v>#DIV/0!</v>
      </c>
    </row>
    <row r="88" spans="1:23" x14ac:dyDescent="0.25">
      <c r="A88" s="39" t="s">
        <v>72</v>
      </c>
      <c r="B88" s="43" t="s">
        <v>121</v>
      </c>
      <c r="C88" s="6" t="s">
        <v>113</v>
      </c>
      <c r="D88" s="7"/>
      <c r="E88" s="7"/>
      <c r="F88" s="7"/>
      <c r="G88" s="7"/>
      <c r="H88" s="7"/>
      <c r="I88" s="7"/>
      <c r="J88" s="93">
        <v>100000</v>
      </c>
      <c r="K88" s="7"/>
      <c r="L88" s="7"/>
      <c r="M88" s="7"/>
      <c r="N88" s="7"/>
      <c r="O88" s="7"/>
      <c r="P88" s="7"/>
      <c r="Q88" s="110"/>
      <c r="R88" s="105">
        <f>(Table156810[[#This Row],[Commercial Bid Price per case for NOI ($)]]-Table156810[[#This Row],[Pass-Thru Value per case ($)]])+Table156810[[#This Row],[Region 1: Fixed Fee Per Case ($)]]</f>
        <v>0</v>
      </c>
      <c r="S88" s="18" t="e">
        <f>(Table156810[[#This Row],[Commercial Bid Price per case for NOI ($)]]+Table156810[[#This Row],[Region 1: Fixed Fee Per Case ($)]])/Table156810[[#This Row],['# of CN Servings per case]]</f>
        <v>#DIV/0!</v>
      </c>
      <c r="T88" s="118" t="e">
        <f>Table156810[[#This Row],[Total Cost Per Serving (N+O)/I]]*Table156810[[#This Row],[Estimated Servings Annual]]</f>
        <v>#DIV/0!</v>
      </c>
      <c r="U88" s="105">
        <f>(Table156810[[#This Row],[Commercial Bid Price per case for NOI ($)]]-Table156810[[#This Row],[Pass-Thru Value per case ($)]])+Table156810[[#This Row],[Region 2: Fixed Fee Per Case ($)]]</f>
        <v>0</v>
      </c>
      <c r="V88" s="24" t="e">
        <f>(Table156810[[#This Row],[Commercial Bid Price per case for NOI ($)]]+Table156810[[#This Row],[Region 2: Fixed Fee Per Case ($)]])/Table156810[[#This Row],['# of CN Servings per case]]</f>
        <v>#DIV/0!</v>
      </c>
      <c r="W88" s="20" t="e">
        <f>Table156810[[#This Row],[Total Cost Per Serving (N+P)/I]]*Table156810[[#This Row],[Estimated Servings Annual]]</f>
        <v>#DIV/0!</v>
      </c>
    </row>
    <row r="89" spans="1:23" x14ac:dyDescent="0.25">
      <c r="A89" s="39" t="s">
        <v>72</v>
      </c>
      <c r="B89" s="43" t="s">
        <v>121</v>
      </c>
      <c r="C89" s="7" t="s">
        <v>13</v>
      </c>
      <c r="D89" s="7"/>
      <c r="E89" s="7"/>
      <c r="F89" s="7"/>
      <c r="G89" s="7"/>
      <c r="H89" s="7"/>
      <c r="I89" s="7"/>
      <c r="J89" s="93">
        <v>100000</v>
      </c>
      <c r="K89" s="7"/>
      <c r="L89" s="7"/>
      <c r="M89" s="7"/>
      <c r="N89" s="7"/>
      <c r="O89" s="7"/>
      <c r="P89" s="7"/>
      <c r="Q89" s="110"/>
      <c r="R89" s="105">
        <f>(Table156810[[#This Row],[Commercial Bid Price per case for NOI ($)]]-Table156810[[#This Row],[Pass-Thru Value per case ($)]])+Table156810[[#This Row],[Region 1: Fixed Fee Per Case ($)]]</f>
        <v>0</v>
      </c>
      <c r="S89" s="18" t="e">
        <f>(Table156810[[#This Row],[Commercial Bid Price per case for NOI ($)]]+Table156810[[#This Row],[Region 1: Fixed Fee Per Case ($)]])/Table156810[[#This Row],['# of CN Servings per case]]</f>
        <v>#DIV/0!</v>
      </c>
      <c r="T89" s="118" t="e">
        <f>Table156810[[#This Row],[Total Cost Per Serving (N+O)/I]]*Table156810[[#This Row],[Estimated Servings Annual]]</f>
        <v>#DIV/0!</v>
      </c>
      <c r="U89" s="105">
        <f>(Table156810[[#This Row],[Commercial Bid Price per case for NOI ($)]]-Table156810[[#This Row],[Pass-Thru Value per case ($)]])+Table156810[[#This Row],[Region 2: Fixed Fee Per Case ($)]]</f>
        <v>0</v>
      </c>
      <c r="V89" s="24" t="e">
        <f>(Table156810[[#This Row],[Commercial Bid Price per case for NOI ($)]]+Table156810[[#This Row],[Region 2: Fixed Fee Per Case ($)]])/Table156810[[#This Row],['# of CN Servings per case]]</f>
        <v>#DIV/0!</v>
      </c>
      <c r="W89" s="20" t="e">
        <f>Table156810[[#This Row],[Total Cost Per Serving (N+P)/I]]*Table156810[[#This Row],[Estimated Servings Annual]]</f>
        <v>#DIV/0!</v>
      </c>
    </row>
    <row r="90" spans="1:23" x14ac:dyDescent="0.25">
      <c r="A90" s="39" t="s">
        <v>72</v>
      </c>
      <c r="B90" s="43" t="s">
        <v>121</v>
      </c>
      <c r="C90" s="7" t="s">
        <v>13</v>
      </c>
      <c r="D90" s="7"/>
      <c r="E90" s="7"/>
      <c r="F90" s="7"/>
      <c r="G90" s="7"/>
      <c r="H90" s="7"/>
      <c r="I90" s="7"/>
      <c r="J90" s="93">
        <v>100000</v>
      </c>
      <c r="K90" s="7"/>
      <c r="L90" s="7"/>
      <c r="M90" s="7"/>
      <c r="N90" s="7"/>
      <c r="O90" s="7"/>
      <c r="P90" s="7"/>
      <c r="Q90" s="110"/>
      <c r="R90" s="105">
        <f>(Table156810[[#This Row],[Commercial Bid Price per case for NOI ($)]]-Table156810[[#This Row],[Pass-Thru Value per case ($)]])+Table156810[[#This Row],[Region 1: Fixed Fee Per Case ($)]]</f>
        <v>0</v>
      </c>
      <c r="S90" s="18" t="e">
        <f>(Table156810[[#This Row],[Commercial Bid Price per case for NOI ($)]]+Table156810[[#This Row],[Region 1: Fixed Fee Per Case ($)]])/Table156810[[#This Row],['# of CN Servings per case]]</f>
        <v>#DIV/0!</v>
      </c>
      <c r="T90" s="118" t="e">
        <f>Table156810[[#This Row],[Total Cost Per Serving (N+O)/I]]*Table156810[[#This Row],[Estimated Servings Annual]]</f>
        <v>#DIV/0!</v>
      </c>
      <c r="U90" s="105">
        <f>(Table156810[[#This Row],[Commercial Bid Price per case for NOI ($)]]-Table156810[[#This Row],[Pass-Thru Value per case ($)]])+Table156810[[#This Row],[Region 2: Fixed Fee Per Case ($)]]</f>
        <v>0</v>
      </c>
      <c r="V90" s="24" t="e">
        <f>(Table156810[[#This Row],[Commercial Bid Price per case for NOI ($)]]+Table156810[[#This Row],[Region 2: Fixed Fee Per Case ($)]])/Table156810[[#This Row],['# of CN Servings per case]]</f>
        <v>#DIV/0!</v>
      </c>
      <c r="W90" s="20" t="e">
        <f>Table156810[[#This Row],[Total Cost Per Serving (N+P)/I]]*Table156810[[#This Row],[Estimated Servings Annual]]</f>
        <v>#DIV/0!</v>
      </c>
    </row>
    <row r="91" spans="1:23" x14ac:dyDescent="0.25">
      <c r="A91" s="39" t="s">
        <v>72</v>
      </c>
      <c r="B91" s="43" t="s">
        <v>121</v>
      </c>
      <c r="C91" s="7" t="s">
        <v>13</v>
      </c>
      <c r="D91" s="7"/>
      <c r="E91" s="7"/>
      <c r="F91" s="7"/>
      <c r="G91" s="7"/>
      <c r="H91" s="7"/>
      <c r="I91" s="7"/>
      <c r="J91" s="93">
        <v>100000</v>
      </c>
      <c r="K91" s="7"/>
      <c r="L91" s="7"/>
      <c r="M91" s="7"/>
      <c r="N91" s="7"/>
      <c r="O91" s="7"/>
      <c r="P91" s="7"/>
      <c r="Q91" s="110"/>
      <c r="R91" s="105">
        <f>(Table156810[[#This Row],[Commercial Bid Price per case for NOI ($)]]-Table156810[[#This Row],[Pass-Thru Value per case ($)]])+Table156810[[#This Row],[Region 1: Fixed Fee Per Case ($)]]</f>
        <v>0</v>
      </c>
      <c r="S91" s="18" t="e">
        <f>(Table156810[[#This Row],[Commercial Bid Price per case for NOI ($)]]+Table156810[[#This Row],[Region 1: Fixed Fee Per Case ($)]])/Table156810[[#This Row],['# of CN Servings per case]]</f>
        <v>#DIV/0!</v>
      </c>
      <c r="T91" s="118" t="e">
        <f>Table156810[[#This Row],[Total Cost Per Serving (N+O)/I]]*Table156810[[#This Row],[Estimated Servings Annual]]</f>
        <v>#DIV/0!</v>
      </c>
      <c r="U91" s="105">
        <f>(Table156810[[#This Row],[Commercial Bid Price per case for NOI ($)]]-Table156810[[#This Row],[Pass-Thru Value per case ($)]])+Table156810[[#This Row],[Region 2: Fixed Fee Per Case ($)]]</f>
        <v>0</v>
      </c>
      <c r="V91" s="24" t="e">
        <f>(Table156810[[#This Row],[Commercial Bid Price per case for NOI ($)]]+Table156810[[#This Row],[Region 2: Fixed Fee Per Case ($)]])/Table156810[[#This Row],['# of CN Servings per case]]</f>
        <v>#DIV/0!</v>
      </c>
      <c r="W91" s="20" t="e">
        <f>Table156810[[#This Row],[Total Cost Per Serving (N+P)/I]]*Table156810[[#This Row],[Estimated Servings Annual]]</f>
        <v>#DIV/0!</v>
      </c>
    </row>
    <row r="92" spans="1:23" ht="15.75" thickBot="1" x14ac:dyDescent="0.3">
      <c r="A92" s="40" t="s">
        <v>72</v>
      </c>
      <c r="B92" s="44" t="s">
        <v>121</v>
      </c>
      <c r="C92" s="9" t="s">
        <v>13</v>
      </c>
      <c r="D92" s="9"/>
      <c r="E92" s="9"/>
      <c r="F92" s="9"/>
      <c r="G92" s="9"/>
      <c r="H92" s="9"/>
      <c r="I92" s="9"/>
      <c r="J92" s="94">
        <v>100000</v>
      </c>
      <c r="K92" s="9"/>
      <c r="L92" s="9"/>
      <c r="M92" s="9"/>
      <c r="N92" s="9"/>
      <c r="O92" s="9"/>
      <c r="P92" s="9"/>
      <c r="Q92" s="111"/>
      <c r="R92" s="106">
        <f>(Table156810[[#This Row],[Commercial Bid Price per case for NOI ($)]]-Table156810[[#This Row],[Pass-Thru Value per case ($)]])+Table156810[[#This Row],[Region 1: Fixed Fee Per Case ($)]]</f>
        <v>0</v>
      </c>
      <c r="S92" s="21" t="e">
        <f>(Table156810[[#This Row],[Commercial Bid Price per case for NOI ($)]]+Table156810[[#This Row],[Region 1: Fixed Fee Per Case ($)]])/Table156810[[#This Row],['# of CN Servings per case]]</f>
        <v>#DIV/0!</v>
      </c>
      <c r="T92" s="120" t="e">
        <f>Table156810[[#This Row],[Total Cost Per Serving (N+O)/I]]*Table156810[[#This Row],[Estimated Servings Annual]]</f>
        <v>#DIV/0!</v>
      </c>
      <c r="U92" s="106">
        <f>(Table156810[[#This Row],[Commercial Bid Price per case for NOI ($)]]-Table156810[[#This Row],[Pass-Thru Value per case ($)]])+Table156810[[#This Row],[Region 2: Fixed Fee Per Case ($)]]</f>
        <v>0</v>
      </c>
      <c r="V92" s="25" t="e">
        <f>(Table156810[[#This Row],[Commercial Bid Price per case for NOI ($)]]+Table156810[[#This Row],[Region 2: Fixed Fee Per Case ($)]])/Table156810[[#This Row],['# of CN Servings per case]]</f>
        <v>#DIV/0!</v>
      </c>
      <c r="W92" s="23" t="e">
        <f>Table156810[[#This Row],[Total Cost Per Serving (N+P)/I]]*Table156810[[#This Row],[Estimated Servings Annual]]</f>
        <v>#DIV/0!</v>
      </c>
    </row>
    <row r="93" spans="1:23" x14ac:dyDescent="0.25">
      <c r="A93" s="39" t="s">
        <v>72</v>
      </c>
      <c r="B93" s="42" t="s">
        <v>122</v>
      </c>
      <c r="C93" s="3" t="s">
        <v>112</v>
      </c>
      <c r="D93" s="4"/>
      <c r="E93" s="4"/>
      <c r="F93" s="4"/>
      <c r="G93" s="4"/>
      <c r="H93" s="4"/>
      <c r="I93" s="4"/>
      <c r="J93" s="92">
        <v>500000</v>
      </c>
      <c r="K93" s="4"/>
      <c r="L93" s="4"/>
      <c r="M93" s="4"/>
      <c r="N93" s="4"/>
      <c r="O93" s="4"/>
      <c r="P93" s="4"/>
      <c r="Q93" s="109"/>
      <c r="R93" s="104">
        <f>(Table156810[[#This Row],[Commercial Bid Price per case for NOI ($)]]-Table156810[[#This Row],[Pass-Thru Value per case ($)]])+Table156810[[#This Row],[Region 1: Fixed Fee Per Case ($)]]</f>
        <v>0</v>
      </c>
      <c r="S93" s="15" t="e">
        <f>(Table156810[[#This Row],[Commercial Bid Price per case for NOI ($)]]+Table156810[[#This Row],[Region 1: Fixed Fee Per Case ($)]])/Table156810[[#This Row],['# of CN Servings per case]]</f>
        <v>#DIV/0!</v>
      </c>
      <c r="T93" s="115" t="e">
        <f>Table156810[[#This Row],[Total Cost Per Serving (N+O)/I]]*Table156810[[#This Row],[Estimated Servings Annual]]</f>
        <v>#DIV/0!</v>
      </c>
      <c r="U93" s="104">
        <f>(Table156810[[#This Row],[Commercial Bid Price per case for NOI ($)]]-Table156810[[#This Row],[Pass-Thru Value per case ($)]])+Table156810[[#This Row],[Region 2: Fixed Fee Per Case ($)]]</f>
        <v>0</v>
      </c>
      <c r="V93" s="31" t="e">
        <f>(Table156810[[#This Row],[Commercial Bid Price per case for NOI ($)]]+Table156810[[#This Row],[Region 2: Fixed Fee Per Case ($)]])/Table156810[[#This Row],['# of CN Servings per case]]</f>
        <v>#DIV/0!</v>
      </c>
      <c r="W93" s="17" t="e">
        <f>Table156810[[#This Row],[Total Cost Per Serving (N+P)/I]]*Table156810[[#This Row],[Estimated Servings Annual]]</f>
        <v>#DIV/0!</v>
      </c>
    </row>
    <row r="94" spans="1:23" x14ac:dyDescent="0.25">
      <c r="A94" s="39" t="s">
        <v>72</v>
      </c>
      <c r="B94" s="43" t="s">
        <v>122</v>
      </c>
      <c r="C94" s="6" t="s">
        <v>112</v>
      </c>
      <c r="D94" s="7"/>
      <c r="E94" s="7"/>
      <c r="F94" s="7"/>
      <c r="G94" s="7"/>
      <c r="H94" s="7"/>
      <c r="I94" s="7"/>
      <c r="J94" s="93">
        <v>500000</v>
      </c>
      <c r="K94" s="7"/>
      <c r="L94" s="7"/>
      <c r="M94" s="7"/>
      <c r="N94" s="7"/>
      <c r="O94" s="7"/>
      <c r="P94" s="7"/>
      <c r="Q94" s="110"/>
      <c r="R94" s="105">
        <f>(Table156810[[#This Row],[Commercial Bid Price per case for NOI ($)]]-Table156810[[#This Row],[Pass-Thru Value per case ($)]])+Table156810[[#This Row],[Region 1: Fixed Fee Per Case ($)]]</f>
        <v>0</v>
      </c>
      <c r="S94" s="18" t="e">
        <f>(Table156810[[#This Row],[Commercial Bid Price per case for NOI ($)]]+Table156810[[#This Row],[Region 1: Fixed Fee Per Case ($)]])/Table156810[[#This Row],['# of CN Servings per case]]</f>
        <v>#DIV/0!</v>
      </c>
      <c r="T94" s="118" t="e">
        <f>Table156810[[#This Row],[Total Cost Per Serving (N+O)/I]]*Table156810[[#This Row],[Estimated Servings Annual]]</f>
        <v>#DIV/0!</v>
      </c>
      <c r="U94" s="105">
        <f>(Table156810[[#This Row],[Commercial Bid Price per case for NOI ($)]]-Table156810[[#This Row],[Pass-Thru Value per case ($)]])+Table156810[[#This Row],[Region 2: Fixed Fee Per Case ($)]]</f>
        <v>0</v>
      </c>
      <c r="V94" s="24" t="e">
        <f>(Table156810[[#This Row],[Commercial Bid Price per case for NOI ($)]]+Table156810[[#This Row],[Region 2: Fixed Fee Per Case ($)]])/Table156810[[#This Row],['# of CN Servings per case]]</f>
        <v>#DIV/0!</v>
      </c>
      <c r="W94" s="20" t="e">
        <f>Table156810[[#This Row],[Total Cost Per Serving (N+P)/I]]*Table156810[[#This Row],[Estimated Servings Annual]]</f>
        <v>#DIV/0!</v>
      </c>
    </row>
    <row r="95" spans="1:23" x14ac:dyDescent="0.25">
      <c r="A95" s="39" t="s">
        <v>72</v>
      </c>
      <c r="B95" s="43" t="s">
        <v>122</v>
      </c>
      <c r="C95" s="6" t="s">
        <v>113</v>
      </c>
      <c r="D95" s="7"/>
      <c r="E95" s="7"/>
      <c r="F95" s="7"/>
      <c r="G95" s="7"/>
      <c r="H95" s="7"/>
      <c r="I95" s="7"/>
      <c r="J95" s="93">
        <v>500000</v>
      </c>
      <c r="K95" s="7"/>
      <c r="L95" s="7"/>
      <c r="M95" s="7"/>
      <c r="N95" s="7"/>
      <c r="O95" s="7"/>
      <c r="P95" s="7"/>
      <c r="Q95" s="110"/>
      <c r="R95" s="105">
        <f>(Table156810[[#This Row],[Commercial Bid Price per case for NOI ($)]]-Table156810[[#This Row],[Pass-Thru Value per case ($)]])+Table156810[[#This Row],[Region 1: Fixed Fee Per Case ($)]]</f>
        <v>0</v>
      </c>
      <c r="S95" s="18" t="e">
        <f>(Table156810[[#This Row],[Commercial Bid Price per case for NOI ($)]]+Table156810[[#This Row],[Region 1: Fixed Fee Per Case ($)]])/Table156810[[#This Row],['# of CN Servings per case]]</f>
        <v>#DIV/0!</v>
      </c>
      <c r="T95" s="118" t="e">
        <f>Table156810[[#This Row],[Total Cost Per Serving (N+O)/I]]*Table156810[[#This Row],[Estimated Servings Annual]]</f>
        <v>#DIV/0!</v>
      </c>
      <c r="U95" s="105">
        <f>(Table156810[[#This Row],[Commercial Bid Price per case for NOI ($)]]-Table156810[[#This Row],[Pass-Thru Value per case ($)]])+Table156810[[#This Row],[Region 2: Fixed Fee Per Case ($)]]</f>
        <v>0</v>
      </c>
      <c r="V95" s="24" t="e">
        <f>(Table156810[[#This Row],[Commercial Bid Price per case for NOI ($)]]+Table156810[[#This Row],[Region 2: Fixed Fee Per Case ($)]])/Table156810[[#This Row],['# of CN Servings per case]]</f>
        <v>#DIV/0!</v>
      </c>
      <c r="W95" s="20" t="e">
        <f>Table156810[[#This Row],[Total Cost Per Serving (N+P)/I]]*Table156810[[#This Row],[Estimated Servings Annual]]</f>
        <v>#DIV/0!</v>
      </c>
    </row>
    <row r="96" spans="1:23" x14ac:dyDescent="0.25">
      <c r="A96" s="39" t="s">
        <v>72</v>
      </c>
      <c r="B96" s="43" t="s">
        <v>122</v>
      </c>
      <c r="C96" s="6" t="s">
        <v>113</v>
      </c>
      <c r="D96" s="7"/>
      <c r="E96" s="7"/>
      <c r="F96" s="7"/>
      <c r="G96" s="7"/>
      <c r="H96" s="7"/>
      <c r="I96" s="7"/>
      <c r="J96" s="93">
        <v>500000</v>
      </c>
      <c r="K96" s="7"/>
      <c r="L96" s="7"/>
      <c r="M96" s="7"/>
      <c r="N96" s="7"/>
      <c r="O96" s="7"/>
      <c r="P96" s="7"/>
      <c r="Q96" s="110"/>
      <c r="R96" s="105">
        <f>(Table156810[[#This Row],[Commercial Bid Price per case for NOI ($)]]-Table156810[[#This Row],[Pass-Thru Value per case ($)]])+Table156810[[#This Row],[Region 1: Fixed Fee Per Case ($)]]</f>
        <v>0</v>
      </c>
      <c r="S96" s="18" t="e">
        <f>(Table156810[[#This Row],[Commercial Bid Price per case for NOI ($)]]+Table156810[[#This Row],[Region 1: Fixed Fee Per Case ($)]])/Table156810[[#This Row],['# of CN Servings per case]]</f>
        <v>#DIV/0!</v>
      </c>
      <c r="T96" s="118" t="e">
        <f>Table156810[[#This Row],[Total Cost Per Serving (N+O)/I]]*Table156810[[#This Row],[Estimated Servings Annual]]</f>
        <v>#DIV/0!</v>
      </c>
      <c r="U96" s="105">
        <f>(Table156810[[#This Row],[Commercial Bid Price per case for NOI ($)]]-Table156810[[#This Row],[Pass-Thru Value per case ($)]])+Table156810[[#This Row],[Region 2: Fixed Fee Per Case ($)]]</f>
        <v>0</v>
      </c>
      <c r="V96" s="24" t="e">
        <f>(Table156810[[#This Row],[Commercial Bid Price per case for NOI ($)]]+Table156810[[#This Row],[Region 2: Fixed Fee Per Case ($)]])/Table156810[[#This Row],['# of CN Servings per case]]</f>
        <v>#DIV/0!</v>
      </c>
      <c r="W96" s="20" t="e">
        <f>Table156810[[#This Row],[Total Cost Per Serving (N+P)/I]]*Table156810[[#This Row],[Estimated Servings Annual]]</f>
        <v>#DIV/0!</v>
      </c>
    </row>
    <row r="97" spans="1:23" x14ac:dyDescent="0.25">
      <c r="A97" s="39" t="s">
        <v>72</v>
      </c>
      <c r="B97" s="43" t="s">
        <v>122</v>
      </c>
      <c r="C97" s="7" t="s">
        <v>13</v>
      </c>
      <c r="D97" s="7"/>
      <c r="E97" s="7"/>
      <c r="F97" s="7"/>
      <c r="G97" s="7"/>
      <c r="H97" s="7"/>
      <c r="I97" s="7"/>
      <c r="J97" s="93">
        <v>500000</v>
      </c>
      <c r="K97" s="7"/>
      <c r="L97" s="7"/>
      <c r="M97" s="7"/>
      <c r="N97" s="7"/>
      <c r="O97" s="7"/>
      <c r="P97" s="7"/>
      <c r="Q97" s="110"/>
      <c r="R97" s="105">
        <f>(Table156810[[#This Row],[Commercial Bid Price per case for NOI ($)]]-Table156810[[#This Row],[Pass-Thru Value per case ($)]])+Table156810[[#This Row],[Region 1: Fixed Fee Per Case ($)]]</f>
        <v>0</v>
      </c>
      <c r="S97" s="18" t="e">
        <f>(Table156810[[#This Row],[Commercial Bid Price per case for NOI ($)]]+Table156810[[#This Row],[Region 1: Fixed Fee Per Case ($)]])/Table156810[[#This Row],['# of CN Servings per case]]</f>
        <v>#DIV/0!</v>
      </c>
      <c r="T97" s="118" t="e">
        <f>Table156810[[#This Row],[Total Cost Per Serving (N+O)/I]]*Table156810[[#This Row],[Estimated Servings Annual]]</f>
        <v>#DIV/0!</v>
      </c>
      <c r="U97" s="105">
        <f>(Table156810[[#This Row],[Commercial Bid Price per case for NOI ($)]]-Table156810[[#This Row],[Pass-Thru Value per case ($)]])+Table156810[[#This Row],[Region 2: Fixed Fee Per Case ($)]]</f>
        <v>0</v>
      </c>
      <c r="V97" s="24" t="e">
        <f>(Table156810[[#This Row],[Commercial Bid Price per case for NOI ($)]]+Table156810[[#This Row],[Region 2: Fixed Fee Per Case ($)]])/Table156810[[#This Row],['# of CN Servings per case]]</f>
        <v>#DIV/0!</v>
      </c>
      <c r="W97" s="20" t="e">
        <f>Table156810[[#This Row],[Total Cost Per Serving (N+P)/I]]*Table156810[[#This Row],[Estimated Servings Annual]]</f>
        <v>#DIV/0!</v>
      </c>
    </row>
    <row r="98" spans="1:23" x14ac:dyDescent="0.25">
      <c r="A98" s="39" t="s">
        <v>72</v>
      </c>
      <c r="B98" s="43" t="s">
        <v>122</v>
      </c>
      <c r="C98" s="7" t="s">
        <v>13</v>
      </c>
      <c r="D98" s="7"/>
      <c r="E98" s="7"/>
      <c r="F98" s="7"/>
      <c r="G98" s="7"/>
      <c r="H98" s="7"/>
      <c r="I98" s="7"/>
      <c r="J98" s="93">
        <v>500000</v>
      </c>
      <c r="K98" s="7"/>
      <c r="L98" s="7"/>
      <c r="M98" s="7"/>
      <c r="N98" s="7"/>
      <c r="O98" s="7"/>
      <c r="P98" s="7"/>
      <c r="Q98" s="110"/>
      <c r="R98" s="105">
        <f>(Table156810[[#This Row],[Commercial Bid Price per case for NOI ($)]]-Table156810[[#This Row],[Pass-Thru Value per case ($)]])+Table156810[[#This Row],[Region 1: Fixed Fee Per Case ($)]]</f>
        <v>0</v>
      </c>
      <c r="S98" s="18" t="e">
        <f>(Table156810[[#This Row],[Commercial Bid Price per case for NOI ($)]]+Table156810[[#This Row],[Region 1: Fixed Fee Per Case ($)]])/Table156810[[#This Row],['# of CN Servings per case]]</f>
        <v>#DIV/0!</v>
      </c>
      <c r="T98" s="118" t="e">
        <f>Table156810[[#This Row],[Total Cost Per Serving (N+O)/I]]*Table156810[[#This Row],[Estimated Servings Annual]]</f>
        <v>#DIV/0!</v>
      </c>
      <c r="U98" s="105">
        <f>(Table156810[[#This Row],[Commercial Bid Price per case for NOI ($)]]-Table156810[[#This Row],[Pass-Thru Value per case ($)]])+Table156810[[#This Row],[Region 2: Fixed Fee Per Case ($)]]</f>
        <v>0</v>
      </c>
      <c r="V98" s="24" t="e">
        <f>(Table156810[[#This Row],[Commercial Bid Price per case for NOI ($)]]+Table156810[[#This Row],[Region 2: Fixed Fee Per Case ($)]])/Table156810[[#This Row],['# of CN Servings per case]]</f>
        <v>#DIV/0!</v>
      </c>
      <c r="W98" s="20" t="e">
        <f>Table156810[[#This Row],[Total Cost Per Serving (N+P)/I]]*Table156810[[#This Row],[Estimated Servings Annual]]</f>
        <v>#DIV/0!</v>
      </c>
    </row>
    <row r="99" spans="1:23" x14ac:dyDescent="0.25">
      <c r="A99" s="39" t="s">
        <v>72</v>
      </c>
      <c r="B99" s="43" t="s">
        <v>122</v>
      </c>
      <c r="C99" s="7" t="s">
        <v>13</v>
      </c>
      <c r="D99" s="7"/>
      <c r="E99" s="7"/>
      <c r="F99" s="7"/>
      <c r="G99" s="7"/>
      <c r="H99" s="7"/>
      <c r="I99" s="7"/>
      <c r="J99" s="93">
        <v>500000</v>
      </c>
      <c r="K99" s="7"/>
      <c r="L99" s="7"/>
      <c r="M99" s="7"/>
      <c r="N99" s="7"/>
      <c r="O99" s="7"/>
      <c r="P99" s="7"/>
      <c r="Q99" s="110"/>
      <c r="R99" s="105">
        <f>(Table156810[[#This Row],[Commercial Bid Price per case for NOI ($)]]-Table156810[[#This Row],[Pass-Thru Value per case ($)]])+Table156810[[#This Row],[Region 1: Fixed Fee Per Case ($)]]</f>
        <v>0</v>
      </c>
      <c r="S99" s="18" t="e">
        <f>(Table156810[[#This Row],[Commercial Bid Price per case for NOI ($)]]+Table156810[[#This Row],[Region 1: Fixed Fee Per Case ($)]])/Table156810[[#This Row],['# of CN Servings per case]]</f>
        <v>#DIV/0!</v>
      </c>
      <c r="T99" s="118" t="e">
        <f>Table156810[[#This Row],[Total Cost Per Serving (N+O)/I]]*Table156810[[#This Row],[Estimated Servings Annual]]</f>
        <v>#DIV/0!</v>
      </c>
      <c r="U99" s="105">
        <f>(Table156810[[#This Row],[Commercial Bid Price per case for NOI ($)]]-Table156810[[#This Row],[Pass-Thru Value per case ($)]])+Table156810[[#This Row],[Region 2: Fixed Fee Per Case ($)]]</f>
        <v>0</v>
      </c>
      <c r="V99" s="24" t="e">
        <f>(Table156810[[#This Row],[Commercial Bid Price per case for NOI ($)]]+Table156810[[#This Row],[Region 2: Fixed Fee Per Case ($)]])/Table156810[[#This Row],['# of CN Servings per case]]</f>
        <v>#DIV/0!</v>
      </c>
      <c r="W99" s="20" t="e">
        <f>Table156810[[#This Row],[Total Cost Per Serving (N+P)/I]]*Table156810[[#This Row],[Estimated Servings Annual]]</f>
        <v>#DIV/0!</v>
      </c>
    </row>
    <row r="100" spans="1:23" ht="15.75" thickBot="1" x14ac:dyDescent="0.3">
      <c r="A100" s="41" t="s">
        <v>72</v>
      </c>
      <c r="B100" s="44" t="s">
        <v>122</v>
      </c>
      <c r="C100" s="9" t="s">
        <v>13</v>
      </c>
      <c r="D100" s="9"/>
      <c r="E100" s="9"/>
      <c r="F100" s="9"/>
      <c r="G100" s="9"/>
      <c r="H100" s="9"/>
      <c r="I100" s="9"/>
      <c r="J100" s="94">
        <v>500000</v>
      </c>
      <c r="K100" s="9"/>
      <c r="L100" s="9"/>
      <c r="M100" s="9"/>
      <c r="N100" s="9"/>
      <c r="O100" s="9"/>
      <c r="P100" s="9"/>
      <c r="Q100" s="111"/>
      <c r="R100" s="106">
        <f>(Table156810[[#This Row],[Commercial Bid Price per case for NOI ($)]]-Table156810[[#This Row],[Pass-Thru Value per case ($)]])+Table156810[[#This Row],[Region 1: Fixed Fee Per Case ($)]]</f>
        <v>0</v>
      </c>
      <c r="S100" s="21" t="e">
        <f>(Table156810[[#This Row],[Commercial Bid Price per case for NOI ($)]]+Table156810[[#This Row],[Region 1: Fixed Fee Per Case ($)]])/Table156810[[#This Row],['# of CN Servings per case]]</f>
        <v>#DIV/0!</v>
      </c>
      <c r="T100" s="120" t="e">
        <f>Table156810[[#This Row],[Total Cost Per Serving (N+O)/I]]*Table156810[[#This Row],[Estimated Servings Annual]]</f>
        <v>#DIV/0!</v>
      </c>
      <c r="U100" s="106">
        <f>(Table156810[[#This Row],[Commercial Bid Price per case for NOI ($)]]-Table156810[[#This Row],[Pass-Thru Value per case ($)]])+Table156810[[#This Row],[Region 2: Fixed Fee Per Case ($)]]</f>
        <v>0</v>
      </c>
      <c r="V100" s="25" t="e">
        <f>(Table156810[[#This Row],[Commercial Bid Price per case for NOI ($)]]+Table156810[[#This Row],[Region 2: Fixed Fee Per Case ($)]])/Table156810[[#This Row],['# of CN Servings per case]]</f>
        <v>#DIV/0!</v>
      </c>
      <c r="W100" s="23" t="e">
        <f>Table156810[[#This Row],[Total Cost Per Serving (N+P)/I]]*Table156810[[#This Row],[Estimated Servings Annual]]</f>
        <v>#DIV/0!</v>
      </c>
    </row>
    <row r="101" spans="1:23" x14ac:dyDescent="0.25">
      <c r="A101" s="45" t="s">
        <v>72</v>
      </c>
      <c r="B101" s="42" t="s">
        <v>123</v>
      </c>
      <c r="C101" s="3" t="s">
        <v>112</v>
      </c>
      <c r="D101" s="4"/>
      <c r="E101" s="4"/>
      <c r="F101" s="4"/>
      <c r="G101" s="4"/>
      <c r="H101" s="4"/>
      <c r="I101" s="4"/>
      <c r="J101" s="92">
        <v>150000</v>
      </c>
      <c r="K101" s="4"/>
      <c r="L101" s="4"/>
      <c r="M101" s="4"/>
      <c r="N101" s="4"/>
      <c r="O101" s="4"/>
      <c r="P101" s="4"/>
      <c r="Q101" s="109"/>
      <c r="R101" s="104">
        <f>(Table156810[[#This Row],[Commercial Bid Price per case for NOI ($)]]-Table156810[[#This Row],[Pass-Thru Value per case ($)]])+Table156810[[#This Row],[Region 1: Fixed Fee Per Case ($)]]</f>
        <v>0</v>
      </c>
      <c r="S101" s="15" t="e">
        <f>(Table156810[[#This Row],[Commercial Bid Price per case for NOI ($)]]+Table156810[[#This Row],[Region 1: Fixed Fee Per Case ($)]])/Table156810[[#This Row],['# of CN Servings per case]]</f>
        <v>#DIV/0!</v>
      </c>
      <c r="T101" s="115" t="e">
        <f>Table156810[[#This Row],[Total Cost Per Serving (N+O)/I]]*Table156810[[#This Row],[Estimated Servings Annual]]</f>
        <v>#DIV/0!</v>
      </c>
      <c r="U101" s="104">
        <f>(Table156810[[#This Row],[Commercial Bid Price per case for NOI ($)]]-Table156810[[#This Row],[Pass-Thru Value per case ($)]])+Table156810[[#This Row],[Region 2: Fixed Fee Per Case ($)]]</f>
        <v>0</v>
      </c>
      <c r="V101" s="31" t="e">
        <f>(Table156810[[#This Row],[Commercial Bid Price per case for NOI ($)]]+Table156810[[#This Row],[Region 2: Fixed Fee Per Case ($)]])/Table156810[[#This Row],['# of CN Servings per case]]</f>
        <v>#DIV/0!</v>
      </c>
      <c r="W101" s="17" t="e">
        <f>Table156810[[#This Row],[Total Cost Per Serving (N+P)/I]]*Table156810[[#This Row],[Estimated Servings Annual]]</f>
        <v>#DIV/0!</v>
      </c>
    </row>
    <row r="102" spans="1:23" x14ac:dyDescent="0.25">
      <c r="A102" s="45" t="s">
        <v>72</v>
      </c>
      <c r="B102" s="43" t="s">
        <v>123</v>
      </c>
      <c r="C102" s="6" t="s">
        <v>112</v>
      </c>
      <c r="D102" s="7"/>
      <c r="E102" s="7"/>
      <c r="F102" s="7"/>
      <c r="G102" s="7"/>
      <c r="H102" s="7"/>
      <c r="I102" s="7"/>
      <c r="J102" s="93">
        <v>150000</v>
      </c>
      <c r="K102" s="7"/>
      <c r="L102" s="7"/>
      <c r="M102" s="7"/>
      <c r="N102" s="7"/>
      <c r="O102" s="7"/>
      <c r="P102" s="7"/>
      <c r="Q102" s="110"/>
      <c r="R102" s="105">
        <f>(Table156810[[#This Row],[Commercial Bid Price per case for NOI ($)]]-Table156810[[#This Row],[Pass-Thru Value per case ($)]])+Table156810[[#This Row],[Region 1: Fixed Fee Per Case ($)]]</f>
        <v>0</v>
      </c>
      <c r="S102" s="18" t="e">
        <f>(Table156810[[#This Row],[Commercial Bid Price per case for NOI ($)]]+Table156810[[#This Row],[Region 1: Fixed Fee Per Case ($)]])/Table156810[[#This Row],['# of CN Servings per case]]</f>
        <v>#DIV/0!</v>
      </c>
      <c r="T102" s="118" t="e">
        <f>Table156810[[#This Row],[Total Cost Per Serving (N+O)/I]]*Table156810[[#This Row],[Estimated Servings Annual]]</f>
        <v>#DIV/0!</v>
      </c>
      <c r="U102" s="105">
        <f>(Table156810[[#This Row],[Commercial Bid Price per case for NOI ($)]]-Table156810[[#This Row],[Pass-Thru Value per case ($)]])+Table156810[[#This Row],[Region 2: Fixed Fee Per Case ($)]]</f>
        <v>0</v>
      </c>
      <c r="V102" s="24" t="e">
        <f>(Table156810[[#This Row],[Commercial Bid Price per case for NOI ($)]]+Table156810[[#This Row],[Region 2: Fixed Fee Per Case ($)]])/Table156810[[#This Row],['# of CN Servings per case]]</f>
        <v>#DIV/0!</v>
      </c>
      <c r="W102" s="20" t="e">
        <f>Table156810[[#This Row],[Total Cost Per Serving (N+P)/I]]*Table156810[[#This Row],[Estimated Servings Annual]]</f>
        <v>#DIV/0!</v>
      </c>
    </row>
    <row r="103" spans="1:23" x14ac:dyDescent="0.25">
      <c r="A103" s="45" t="s">
        <v>72</v>
      </c>
      <c r="B103" s="43" t="s">
        <v>123</v>
      </c>
      <c r="C103" s="6" t="s">
        <v>113</v>
      </c>
      <c r="D103" s="7"/>
      <c r="E103" s="7"/>
      <c r="F103" s="7"/>
      <c r="G103" s="7"/>
      <c r="H103" s="7"/>
      <c r="I103" s="7"/>
      <c r="J103" s="93">
        <v>150000</v>
      </c>
      <c r="K103" s="7"/>
      <c r="L103" s="7"/>
      <c r="M103" s="7"/>
      <c r="N103" s="7"/>
      <c r="O103" s="7"/>
      <c r="P103" s="7"/>
      <c r="Q103" s="110"/>
      <c r="R103" s="105">
        <f>(Table156810[[#This Row],[Commercial Bid Price per case for NOI ($)]]-Table156810[[#This Row],[Pass-Thru Value per case ($)]])+Table156810[[#This Row],[Region 1: Fixed Fee Per Case ($)]]</f>
        <v>0</v>
      </c>
      <c r="S103" s="18" t="e">
        <f>(Table156810[[#This Row],[Commercial Bid Price per case for NOI ($)]]+Table156810[[#This Row],[Region 1: Fixed Fee Per Case ($)]])/Table156810[[#This Row],['# of CN Servings per case]]</f>
        <v>#DIV/0!</v>
      </c>
      <c r="T103" s="118" t="e">
        <f>Table156810[[#This Row],[Total Cost Per Serving (N+O)/I]]*Table156810[[#This Row],[Estimated Servings Annual]]</f>
        <v>#DIV/0!</v>
      </c>
      <c r="U103" s="105">
        <f>(Table156810[[#This Row],[Commercial Bid Price per case for NOI ($)]]-Table156810[[#This Row],[Pass-Thru Value per case ($)]])+Table156810[[#This Row],[Region 2: Fixed Fee Per Case ($)]]</f>
        <v>0</v>
      </c>
      <c r="V103" s="24" t="e">
        <f>(Table156810[[#This Row],[Commercial Bid Price per case for NOI ($)]]+Table156810[[#This Row],[Region 2: Fixed Fee Per Case ($)]])/Table156810[[#This Row],['# of CN Servings per case]]</f>
        <v>#DIV/0!</v>
      </c>
      <c r="W103" s="20" t="e">
        <f>Table156810[[#This Row],[Total Cost Per Serving (N+P)/I]]*Table156810[[#This Row],[Estimated Servings Annual]]</f>
        <v>#DIV/0!</v>
      </c>
    </row>
    <row r="104" spans="1:23" x14ac:dyDescent="0.25">
      <c r="A104" s="45" t="s">
        <v>72</v>
      </c>
      <c r="B104" s="43" t="s">
        <v>123</v>
      </c>
      <c r="C104" s="6" t="s">
        <v>113</v>
      </c>
      <c r="D104" s="7"/>
      <c r="E104" s="7"/>
      <c r="F104" s="7"/>
      <c r="G104" s="7"/>
      <c r="H104" s="7"/>
      <c r="I104" s="7"/>
      <c r="J104" s="93">
        <v>150000</v>
      </c>
      <c r="K104" s="7"/>
      <c r="L104" s="7"/>
      <c r="M104" s="7"/>
      <c r="N104" s="7"/>
      <c r="O104" s="7"/>
      <c r="P104" s="7"/>
      <c r="Q104" s="110"/>
      <c r="R104" s="105">
        <f>(Table156810[[#This Row],[Commercial Bid Price per case for NOI ($)]]-Table156810[[#This Row],[Pass-Thru Value per case ($)]])+Table156810[[#This Row],[Region 1: Fixed Fee Per Case ($)]]</f>
        <v>0</v>
      </c>
      <c r="S104" s="18" t="e">
        <f>(Table156810[[#This Row],[Commercial Bid Price per case for NOI ($)]]+Table156810[[#This Row],[Region 1: Fixed Fee Per Case ($)]])/Table156810[[#This Row],['# of CN Servings per case]]</f>
        <v>#DIV/0!</v>
      </c>
      <c r="T104" s="118" t="e">
        <f>Table156810[[#This Row],[Total Cost Per Serving (N+O)/I]]*Table156810[[#This Row],[Estimated Servings Annual]]</f>
        <v>#DIV/0!</v>
      </c>
      <c r="U104" s="105">
        <f>(Table156810[[#This Row],[Commercial Bid Price per case for NOI ($)]]-Table156810[[#This Row],[Pass-Thru Value per case ($)]])+Table156810[[#This Row],[Region 2: Fixed Fee Per Case ($)]]</f>
        <v>0</v>
      </c>
      <c r="V104" s="24" t="e">
        <f>(Table156810[[#This Row],[Commercial Bid Price per case for NOI ($)]]+Table156810[[#This Row],[Region 2: Fixed Fee Per Case ($)]])/Table156810[[#This Row],['# of CN Servings per case]]</f>
        <v>#DIV/0!</v>
      </c>
      <c r="W104" s="20" t="e">
        <f>Table156810[[#This Row],[Total Cost Per Serving (N+P)/I]]*Table156810[[#This Row],[Estimated Servings Annual]]</f>
        <v>#DIV/0!</v>
      </c>
    </row>
    <row r="105" spans="1:23" x14ac:dyDescent="0.25">
      <c r="A105" s="45" t="s">
        <v>72</v>
      </c>
      <c r="B105" s="43" t="s">
        <v>123</v>
      </c>
      <c r="C105" s="7" t="s">
        <v>13</v>
      </c>
      <c r="D105" s="7"/>
      <c r="E105" s="7"/>
      <c r="F105" s="7"/>
      <c r="G105" s="7"/>
      <c r="H105" s="7"/>
      <c r="I105" s="7"/>
      <c r="J105" s="93">
        <v>150000</v>
      </c>
      <c r="K105" s="7"/>
      <c r="L105" s="7"/>
      <c r="M105" s="7"/>
      <c r="N105" s="7"/>
      <c r="O105" s="7"/>
      <c r="P105" s="7"/>
      <c r="Q105" s="110"/>
      <c r="R105" s="105">
        <f>(Table156810[[#This Row],[Commercial Bid Price per case for NOI ($)]]-Table156810[[#This Row],[Pass-Thru Value per case ($)]])+Table156810[[#This Row],[Region 1: Fixed Fee Per Case ($)]]</f>
        <v>0</v>
      </c>
      <c r="S105" s="18" t="e">
        <f>(Table156810[[#This Row],[Commercial Bid Price per case for NOI ($)]]+Table156810[[#This Row],[Region 1: Fixed Fee Per Case ($)]])/Table156810[[#This Row],['# of CN Servings per case]]</f>
        <v>#DIV/0!</v>
      </c>
      <c r="T105" s="118" t="e">
        <f>Table156810[[#This Row],[Total Cost Per Serving (N+O)/I]]*Table156810[[#This Row],[Estimated Servings Annual]]</f>
        <v>#DIV/0!</v>
      </c>
      <c r="U105" s="105">
        <f>(Table156810[[#This Row],[Commercial Bid Price per case for NOI ($)]]-Table156810[[#This Row],[Pass-Thru Value per case ($)]])+Table156810[[#This Row],[Region 2: Fixed Fee Per Case ($)]]</f>
        <v>0</v>
      </c>
      <c r="V105" s="24" t="e">
        <f>(Table156810[[#This Row],[Commercial Bid Price per case for NOI ($)]]+Table156810[[#This Row],[Region 2: Fixed Fee Per Case ($)]])/Table156810[[#This Row],['# of CN Servings per case]]</f>
        <v>#DIV/0!</v>
      </c>
      <c r="W105" s="20" t="e">
        <f>Table156810[[#This Row],[Total Cost Per Serving (N+P)/I]]*Table156810[[#This Row],[Estimated Servings Annual]]</f>
        <v>#DIV/0!</v>
      </c>
    </row>
    <row r="106" spans="1:23" x14ac:dyDescent="0.25">
      <c r="A106" s="45" t="s">
        <v>72</v>
      </c>
      <c r="B106" s="43" t="s">
        <v>123</v>
      </c>
      <c r="C106" s="7" t="s">
        <v>13</v>
      </c>
      <c r="D106" s="7"/>
      <c r="E106" s="7"/>
      <c r="F106" s="7"/>
      <c r="G106" s="7"/>
      <c r="H106" s="7"/>
      <c r="I106" s="7"/>
      <c r="J106" s="93">
        <v>150000</v>
      </c>
      <c r="K106" s="7"/>
      <c r="L106" s="7"/>
      <c r="M106" s="7"/>
      <c r="N106" s="7"/>
      <c r="O106" s="7"/>
      <c r="P106" s="7"/>
      <c r="Q106" s="110"/>
      <c r="R106" s="105">
        <f>(Table156810[[#This Row],[Commercial Bid Price per case for NOI ($)]]-Table156810[[#This Row],[Pass-Thru Value per case ($)]])+Table156810[[#This Row],[Region 1: Fixed Fee Per Case ($)]]</f>
        <v>0</v>
      </c>
      <c r="S106" s="18" t="e">
        <f>(Table156810[[#This Row],[Commercial Bid Price per case for NOI ($)]]+Table156810[[#This Row],[Region 1: Fixed Fee Per Case ($)]])/Table156810[[#This Row],['# of CN Servings per case]]</f>
        <v>#DIV/0!</v>
      </c>
      <c r="T106" s="118" t="e">
        <f>Table156810[[#This Row],[Total Cost Per Serving (N+O)/I]]*Table156810[[#This Row],[Estimated Servings Annual]]</f>
        <v>#DIV/0!</v>
      </c>
      <c r="U106" s="105">
        <f>(Table156810[[#This Row],[Commercial Bid Price per case for NOI ($)]]-Table156810[[#This Row],[Pass-Thru Value per case ($)]])+Table156810[[#This Row],[Region 2: Fixed Fee Per Case ($)]]</f>
        <v>0</v>
      </c>
      <c r="V106" s="24" t="e">
        <f>(Table156810[[#This Row],[Commercial Bid Price per case for NOI ($)]]+Table156810[[#This Row],[Region 2: Fixed Fee Per Case ($)]])/Table156810[[#This Row],['# of CN Servings per case]]</f>
        <v>#DIV/0!</v>
      </c>
      <c r="W106" s="20" t="e">
        <f>Table156810[[#This Row],[Total Cost Per Serving (N+P)/I]]*Table156810[[#This Row],[Estimated Servings Annual]]</f>
        <v>#DIV/0!</v>
      </c>
    </row>
    <row r="107" spans="1:23" x14ac:dyDescent="0.25">
      <c r="A107" s="45" t="s">
        <v>72</v>
      </c>
      <c r="B107" s="43" t="s">
        <v>123</v>
      </c>
      <c r="C107" s="7" t="s">
        <v>13</v>
      </c>
      <c r="D107" s="7"/>
      <c r="E107" s="7"/>
      <c r="F107" s="7"/>
      <c r="G107" s="7"/>
      <c r="H107" s="7"/>
      <c r="I107" s="7"/>
      <c r="J107" s="93">
        <v>150000</v>
      </c>
      <c r="K107" s="7"/>
      <c r="L107" s="7"/>
      <c r="M107" s="7"/>
      <c r="N107" s="7"/>
      <c r="O107" s="7"/>
      <c r="P107" s="7"/>
      <c r="Q107" s="110"/>
      <c r="R107" s="105">
        <f>(Table156810[[#This Row],[Commercial Bid Price per case for NOI ($)]]-Table156810[[#This Row],[Pass-Thru Value per case ($)]])+Table156810[[#This Row],[Region 1: Fixed Fee Per Case ($)]]</f>
        <v>0</v>
      </c>
      <c r="S107" s="18" t="e">
        <f>(Table156810[[#This Row],[Commercial Bid Price per case for NOI ($)]]+Table156810[[#This Row],[Region 1: Fixed Fee Per Case ($)]])/Table156810[[#This Row],['# of CN Servings per case]]</f>
        <v>#DIV/0!</v>
      </c>
      <c r="T107" s="118" t="e">
        <f>Table156810[[#This Row],[Total Cost Per Serving (N+O)/I]]*Table156810[[#This Row],[Estimated Servings Annual]]</f>
        <v>#DIV/0!</v>
      </c>
      <c r="U107" s="105">
        <f>(Table156810[[#This Row],[Commercial Bid Price per case for NOI ($)]]-Table156810[[#This Row],[Pass-Thru Value per case ($)]])+Table156810[[#This Row],[Region 2: Fixed Fee Per Case ($)]]</f>
        <v>0</v>
      </c>
      <c r="V107" s="24" t="e">
        <f>(Table156810[[#This Row],[Commercial Bid Price per case for NOI ($)]]+Table156810[[#This Row],[Region 2: Fixed Fee Per Case ($)]])/Table156810[[#This Row],['# of CN Servings per case]]</f>
        <v>#DIV/0!</v>
      </c>
      <c r="W107" s="20" t="e">
        <f>Table156810[[#This Row],[Total Cost Per Serving (N+P)/I]]*Table156810[[#This Row],[Estimated Servings Annual]]</f>
        <v>#DIV/0!</v>
      </c>
    </row>
    <row r="108" spans="1:23" ht="15.75" thickBot="1" x14ac:dyDescent="0.3">
      <c r="A108" s="45" t="s">
        <v>72</v>
      </c>
      <c r="B108" s="44" t="s">
        <v>123</v>
      </c>
      <c r="C108" s="9" t="s">
        <v>13</v>
      </c>
      <c r="D108" s="9"/>
      <c r="E108" s="9"/>
      <c r="F108" s="9"/>
      <c r="G108" s="9"/>
      <c r="H108" s="9"/>
      <c r="I108" s="9"/>
      <c r="J108" s="94">
        <v>150000</v>
      </c>
      <c r="K108" s="9"/>
      <c r="L108" s="9"/>
      <c r="M108" s="9"/>
      <c r="N108" s="9"/>
      <c r="O108" s="9"/>
      <c r="P108" s="9"/>
      <c r="Q108" s="111"/>
      <c r="R108" s="106">
        <f>(Table156810[[#This Row],[Commercial Bid Price per case for NOI ($)]]-Table156810[[#This Row],[Pass-Thru Value per case ($)]])+Table156810[[#This Row],[Region 1: Fixed Fee Per Case ($)]]</f>
        <v>0</v>
      </c>
      <c r="S108" s="21" t="e">
        <f>(Table156810[[#This Row],[Commercial Bid Price per case for NOI ($)]]+Table156810[[#This Row],[Region 1: Fixed Fee Per Case ($)]])/Table156810[[#This Row],['# of CN Servings per case]]</f>
        <v>#DIV/0!</v>
      </c>
      <c r="T108" s="120" t="e">
        <f>Table156810[[#This Row],[Total Cost Per Serving (N+O)/I]]*Table156810[[#This Row],[Estimated Servings Annual]]</f>
        <v>#DIV/0!</v>
      </c>
      <c r="U108" s="106">
        <f>(Table156810[[#This Row],[Commercial Bid Price per case for NOI ($)]]-Table156810[[#This Row],[Pass-Thru Value per case ($)]])+Table156810[[#This Row],[Region 2: Fixed Fee Per Case ($)]]</f>
        <v>0</v>
      </c>
      <c r="V108" s="25" t="e">
        <f>(Table156810[[#This Row],[Commercial Bid Price per case for NOI ($)]]+Table156810[[#This Row],[Region 2: Fixed Fee Per Case ($)]])/Table156810[[#This Row],['# of CN Servings per case]]</f>
        <v>#DIV/0!</v>
      </c>
      <c r="W108" s="23" t="e">
        <f>Table156810[[#This Row],[Total Cost Per Serving (N+P)/I]]*Table156810[[#This Row],[Estimated Servings Annual]]</f>
        <v>#DIV/0!</v>
      </c>
    </row>
    <row r="109" spans="1:23" x14ac:dyDescent="0.25">
      <c r="A109" s="45" t="s">
        <v>72</v>
      </c>
      <c r="B109" s="42" t="s">
        <v>124</v>
      </c>
      <c r="C109" s="3" t="s">
        <v>111</v>
      </c>
      <c r="D109" s="4"/>
      <c r="E109" s="4"/>
      <c r="F109" s="4"/>
      <c r="G109" s="4"/>
      <c r="H109" s="4"/>
      <c r="I109" s="4"/>
      <c r="J109" s="92">
        <v>150000</v>
      </c>
      <c r="K109" s="4"/>
      <c r="L109" s="4"/>
      <c r="M109" s="4"/>
      <c r="N109" s="4"/>
      <c r="O109" s="4"/>
      <c r="P109" s="4"/>
      <c r="Q109" s="109"/>
      <c r="R109" s="104">
        <f>(Table156810[[#This Row],[Commercial Bid Price per case for NOI ($)]]-Table156810[[#This Row],[Pass-Thru Value per case ($)]])+Table156810[[#This Row],[Region 1: Fixed Fee Per Case ($)]]</f>
        <v>0</v>
      </c>
      <c r="S109" s="15" t="e">
        <f>(Table156810[[#This Row],[Commercial Bid Price per case for NOI ($)]]+Table156810[[#This Row],[Region 1: Fixed Fee Per Case ($)]])/Table156810[[#This Row],['# of CN Servings per case]]</f>
        <v>#DIV/0!</v>
      </c>
      <c r="T109" s="115" t="e">
        <f>Table156810[[#This Row],[Total Cost Per Serving (N+O)/I]]*Table156810[[#This Row],[Estimated Servings Annual]]</f>
        <v>#DIV/0!</v>
      </c>
      <c r="U109" s="104">
        <f>(Table156810[[#This Row],[Commercial Bid Price per case for NOI ($)]]-Table156810[[#This Row],[Pass-Thru Value per case ($)]])+Table156810[[#This Row],[Region 2: Fixed Fee Per Case ($)]]</f>
        <v>0</v>
      </c>
      <c r="V109" s="31" t="e">
        <f>(Table156810[[#This Row],[Commercial Bid Price per case for NOI ($)]]+Table156810[[#This Row],[Region 2: Fixed Fee Per Case ($)]])/Table156810[[#This Row],['# of CN Servings per case]]</f>
        <v>#DIV/0!</v>
      </c>
      <c r="W109" s="17" t="e">
        <f>Table156810[[#This Row],[Total Cost Per Serving (N+P)/I]]*Table156810[[#This Row],[Estimated Servings Annual]]</f>
        <v>#DIV/0!</v>
      </c>
    </row>
    <row r="110" spans="1:23" x14ac:dyDescent="0.25">
      <c r="A110" s="45" t="s">
        <v>72</v>
      </c>
      <c r="B110" s="43" t="s">
        <v>124</v>
      </c>
      <c r="C110" s="6" t="s">
        <v>111</v>
      </c>
      <c r="D110" s="7"/>
      <c r="E110" s="7"/>
      <c r="F110" s="7"/>
      <c r="G110" s="7"/>
      <c r="H110" s="7"/>
      <c r="I110" s="7"/>
      <c r="J110" s="93">
        <v>150000</v>
      </c>
      <c r="K110" s="7"/>
      <c r="L110" s="7"/>
      <c r="M110" s="7"/>
      <c r="N110" s="7"/>
      <c r="O110" s="7"/>
      <c r="P110" s="7"/>
      <c r="Q110" s="110"/>
      <c r="R110" s="105">
        <f>(Table156810[[#This Row],[Commercial Bid Price per case for NOI ($)]]-Table156810[[#This Row],[Pass-Thru Value per case ($)]])+Table156810[[#This Row],[Region 1: Fixed Fee Per Case ($)]]</f>
        <v>0</v>
      </c>
      <c r="S110" s="18" t="e">
        <f>(Table156810[[#This Row],[Commercial Bid Price per case for NOI ($)]]+Table156810[[#This Row],[Region 1: Fixed Fee Per Case ($)]])/Table156810[[#This Row],['# of CN Servings per case]]</f>
        <v>#DIV/0!</v>
      </c>
      <c r="T110" s="118" t="e">
        <f>Table156810[[#This Row],[Total Cost Per Serving (N+O)/I]]*Table156810[[#This Row],[Estimated Servings Annual]]</f>
        <v>#DIV/0!</v>
      </c>
      <c r="U110" s="105">
        <f>(Table156810[[#This Row],[Commercial Bid Price per case for NOI ($)]]-Table156810[[#This Row],[Pass-Thru Value per case ($)]])+Table156810[[#This Row],[Region 2: Fixed Fee Per Case ($)]]</f>
        <v>0</v>
      </c>
      <c r="V110" s="24" t="e">
        <f>(Table156810[[#This Row],[Commercial Bid Price per case for NOI ($)]]+Table156810[[#This Row],[Region 2: Fixed Fee Per Case ($)]])/Table156810[[#This Row],['# of CN Servings per case]]</f>
        <v>#DIV/0!</v>
      </c>
      <c r="W110" s="20" t="e">
        <f>Table156810[[#This Row],[Total Cost Per Serving (N+P)/I]]*Table156810[[#This Row],[Estimated Servings Annual]]</f>
        <v>#DIV/0!</v>
      </c>
    </row>
    <row r="111" spans="1:23" x14ac:dyDescent="0.25">
      <c r="A111" s="45" t="s">
        <v>72</v>
      </c>
      <c r="B111" s="43" t="s">
        <v>124</v>
      </c>
      <c r="C111" s="6" t="s">
        <v>112</v>
      </c>
      <c r="D111" s="7"/>
      <c r="E111" s="7"/>
      <c r="F111" s="7"/>
      <c r="G111" s="7"/>
      <c r="H111" s="7"/>
      <c r="I111" s="7"/>
      <c r="J111" s="93">
        <v>150000</v>
      </c>
      <c r="K111" s="7"/>
      <c r="L111" s="7"/>
      <c r="M111" s="7"/>
      <c r="N111" s="7"/>
      <c r="O111" s="7"/>
      <c r="P111" s="7"/>
      <c r="Q111" s="110"/>
      <c r="R111" s="105">
        <f>(Table156810[[#This Row],[Commercial Bid Price per case for NOI ($)]]-Table156810[[#This Row],[Pass-Thru Value per case ($)]])+Table156810[[#This Row],[Region 1: Fixed Fee Per Case ($)]]</f>
        <v>0</v>
      </c>
      <c r="S111" s="18" t="e">
        <f>(Table156810[[#This Row],[Commercial Bid Price per case for NOI ($)]]+Table156810[[#This Row],[Region 1: Fixed Fee Per Case ($)]])/Table156810[[#This Row],['# of CN Servings per case]]</f>
        <v>#DIV/0!</v>
      </c>
      <c r="T111" s="118" t="e">
        <f>Table156810[[#This Row],[Total Cost Per Serving (N+O)/I]]*Table156810[[#This Row],[Estimated Servings Annual]]</f>
        <v>#DIV/0!</v>
      </c>
      <c r="U111" s="105">
        <f>(Table156810[[#This Row],[Commercial Bid Price per case for NOI ($)]]-Table156810[[#This Row],[Pass-Thru Value per case ($)]])+Table156810[[#This Row],[Region 2: Fixed Fee Per Case ($)]]</f>
        <v>0</v>
      </c>
      <c r="V111" s="24" t="e">
        <f>(Table156810[[#This Row],[Commercial Bid Price per case for NOI ($)]]+Table156810[[#This Row],[Region 2: Fixed Fee Per Case ($)]])/Table156810[[#This Row],['# of CN Servings per case]]</f>
        <v>#DIV/0!</v>
      </c>
      <c r="W111" s="20" t="e">
        <f>Table156810[[#This Row],[Total Cost Per Serving (N+P)/I]]*Table156810[[#This Row],[Estimated Servings Annual]]</f>
        <v>#DIV/0!</v>
      </c>
    </row>
    <row r="112" spans="1:23" x14ac:dyDescent="0.25">
      <c r="A112" s="45" t="s">
        <v>72</v>
      </c>
      <c r="B112" s="43" t="s">
        <v>124</v>
      </c>
      <c r="C112" s="6" t="s">
        <v>112</v>
      </c>
      <c r="D112" s="7"/>
      <c r="E112" s="7"/>
      <c r="F112" s="7"/>
      <c r="G112" s="7"/>
      <c r="H112" s="7"/>
      <c r="I112" s="7"/>
      <c r="J112" s="93">
        <v>150000</v>
      </c>
      <c r="K112" s="7"/>
      <c r="L112" s="7"/>
      <c r="M112" s="7"/>
      <c r="N112" s="7"/>
      <c r="O112" s="7"/>
      <c r="P112" s="7"/>
      <c r="Q112" s="110"/>
      <c r="R112" s="105">
        <f>(Table156810[[#This Row],[Commercial Bid Price per case for NOI ($)]]-Table156810[[#This Row],[Pass-Thru Value per case ($)]])+Table156810[[#This Row],[Region 1: Fixed Fee Per Case ($)]]</f>
        <v>0</v>
      </c>
      <c r="S112" s="18" t="e">
        <f>(Table156810[[#This Row],[Commercial Bid Price per case for NOI ($)]]+Table156810[[#This Row],[Region 1: Fixed Fee Per Case ($)]])/Table156810[[#This Row],['# of CN Servings per case]]</f>
        <v>#DIV/0!</v>
      </c>
      <c r="T112" s="118" t="e">
        <f>Table156810[[#This Row],[Total Cost Per Serving (N+O)/I]]*Table156810[[#This Row],[Estimated Servings Annual]]</f>
        <v>#DIV/0!</v>
      </c>
      <c r="U112" s="105">
        <f>(Table156810[[#This Row],[Commercial Bid Price per case for NOI ($)]]-Table156810[[#This Row],[Pass-Thru Value per case ($)]])+Table156810[[#This Row],[Region 2: Fixed Fee Per Case ($)]]</f>
        <v>0</v>
      </c>
      <c r="V112" s="24" t="e">
        <f>(Table156810[[#This Row],[Commercial Bid Price per case for NOI ($)]]+Table156810[[#This Row],[Region 2: Fixed Fee Per Case ($)]])/Table156810[[#This Row],['# of CN Servings per case]]</f>
        <v>#DIV/0!</v>
      </c>
      <c r="W112" s="20" t="e">
        <f>Table156810[[#This Row],[Total Cost Per Serving (N+P)/I]]*Table156810[[#This Row],[Estimated Servings Annual]]</f>
        <v>#DIV/0!</v>
      </c>
    </row>
    <row r="113" spans="1:23" x14ac:dyDescent="0.25">
      <c r="A113" s="45" t="s">
        <v>72</v>
      </c>
      <c r="B113" s="43" t="s">
        <v>124</v>
      </c>
      <c r="C113" s="6" t="s">
        <v>113</v>
      </c>
      <c r="D113" s="7"/>
      <c r="E113" s="7"/>
      <c r="F113" s="7"/>
      <c r="G113" s="7"/>
      <c r="H113" s="7"/>
      <c r="I113" s="7"/>
      <c r="J113" s="93">
        <v>150000</v>
      </c>
      <c r="K113" s="7"/>
      <c r="L113" s="7"/>
      <c r="M113" s="7"/>
      <c r="N113" s="7"/>
      <c r="O113" s="7"/>
      <c r="P113" s="7"/>
      <c r="Q113" s="110"/>
      <c r="R113" s="105">
        <f>(Table156810[[#This Row],[Commercial Bid Price per case for NOI ($)]]-Table156810[[#This Row],[Pass-Thru Value per case ($)]])+Table156810[[#This Row],[Region 1: Fixed Fee Per Case ($)]]</f>
        <v>0</v>
      </c>
      <c r="S113" s="18" t="e">
        <f>(Table156810[[#This Row],[Commercial Bid Price per case for NOI ($)]]+Table156810[[#This Row],[Region 1: Fixed Fee Per Case ($)]])/Table156810[[#This Row],['# of CN Servings per case]]</f>
        <v>#DIV/0!</v>
      </c>
      <c r="T113" s="118" t="e">
        <f>Table156810[[#This Row],[Total Cost Per Serving (N+O)/I]]*Table156810[[#This Row],[Estimated Servings Annual]]</f>
        <v>#DIV/0!</v>
      </c>
      <c r="U113" s="105">
        <f>(Table156810[[#This Row],[Commercial Bid Price per case for NOI ($)]]-Table156810[[#This Row],[Pass-Thru Value per case ($)]])+Table156810[[#This Row],[Region 2: Fixed Fee Per Case ($)]]</f>
        <v>0</v>
      </c>
      <c r="V113" s="24" t="e">
        <f>(Table156810[[#This Row],[Commercial Bid Price per case for NOI ($)]]+Table156810[[#This Row],[Region 2: Fixed Fee Per Case ($)]])/Table156810[[#This Row],['# of CN Servings per case]]</f>
        <v>#DIV/0!</v>
      </c>
      <c r="W113" s="20" t="e">
        <f>Table156810[[#This Row],[Total Cost Per Serving (N+P)/I]]*Table156810[[#This Row],[Estimated Servings Annual]]</f>
        <v>#DIV/0!</v>
      </c>
    </row>
    <row r="114" spans="1:23" x14ac:dyDescent="0.25">
      <c r="A114" s="45" t="s">
        <v>72</v>
      </c>
      <c r="B114" s="43" t="s">
        <v>124</v>
      </c>
      <c r="C114" s="6" t="s">
        <v>113</v>
      </c>
      <c r="D114" s="7"/>
      <c r="E114" s="7"/>
      <c r="F114" s="7"/>
      <c r="G114" s="7"/>
      <c r="H114" s="7"/>
      <c r="I114" s="7"/>
      <c r="J114" s="93">
        <v>150000</v>
      </c>
      <c r="K114" s="7"/>
      <c r="L114" s="7"/>
      <c r="M114" s="7"/>
      <c r="N114" s="7"/>
      <c r="O114" s="7"/>
      <c r="P114" s="7"/>
      <c r="Q114" s="110"/>
      <c r="R114" s="105">
        <f>(Table156810[[#This Row],[Commercial Bid Price per case for NOI ($)]]-Table156810[[#This Row],[Pass-Thru Value per case ($)]])+Table156810[[#This Row],[Region 1: Fixed Fee Per Case ($)]]</f>
        <v>0</v>
      </c>
      <c r="S114" s="18" t="e">
        <f>(Table156810[[#This Row],[Commercial Bid Price per case for NOI ($)]]+Table156810[[#This Row],[Region 1: Fixed Fee Per Case ($)]])/Table156810[[#This Row],['# of CN Servings per case]]</f>
        <v>#DIV/0!</v>
      </c>
      <c r="T114" s="118" t="e">
        <f>Table156810[[#This Row],[Total Cost Per Serving (N+O)/I]]*Table156810[[#This Row],[Estimated Servings Annual]]</f>
        <v>#DIV/0!</v>
      </c>
      <c r="U114" s="105">
        <f>(Table156810[[#This Row],[Commercial Bid Price per case for NOI ($)]]-Table156810[[#This Row],[Pass-Thru Value per case ($)]])+Table156810[[#This Row],[Region 2: Fixed Fee Per Case ($)]]</f>
        <v>0</v>
      </c>
      <c r="V114" s="24" t="e">
        <f>(Table156810[[#This Row],[Commercial Bid Price per case for NOI ($)]]+Table156810[[#This Row],[Region 2: Fixed Fee Per Case ($)]])/Table156810[[#This Row],['# of CN Servings per case]]</f>
        <v>#DIV/0!</v>
      </c>
      <c r="W114" s="20" t="e">
        <f>Table156810[[#This Row],[Total Cost Per Serving (N+P)/I]]*Table156810[[#This Row],[Estimated Servings Annual]]</f>
        <v>#DIV/0!</v>
      </c>
    </row>
    <row r="115" spans="1:23" x14ac:dyDescent="0.25">
      <c r="A115" s="45" t="s">
        <v>72</v>
      </c>
      <c r="B115" s="43" t="s">
        <v>124</v>
      </c>
      <c r="C115" s="7" t="s">
        <v>13</v>
      </c>
      <c r="D115" s="7"/>
      <c r="E115" s="7"/>
      <c r="F115" s="7"/>
      <c r="G115" s="7"/>
      <c r="H115" s="7"/>
      <c r="I115" s="7"/>
      <c r="J115" s="93">
        <v>150000</v>
      </c>
      <c r="K115" s="7"/>
      <c r="L115" s="7"/>
      <c r="M115" s="7"/>
      <c r="N115" s="7"/>
      <c r="O115" s="7"/>
      <c r="P115" s="7"/>
      <c r="Q115" s="110"/>
      <c r="R115" s="105">
        <f>(Table156810[[#This Row],[Commercial Bid Price per case for NOI ($)]]-Table156810[[#This Row],[Pass-Thru Value per case ($)]])+Table156810[[#This Row],[Region 1: Fixed Fee Per Case ($)]]</f>
        <v>0</v>
      </c>
      <c r="S115" s="18" t="e">
        <f>(Table156810[[#This Row],[Commercial Bid Price per case for NOI ($)]]+Table156810[[#This Row],[Region 1: Fixed Fee Per Case ($)]])/Table156810[[#This Row],['# of CN Servings per case]]</f>
        <v>#DIV/0!</v>
      </c>
      <c r="T115" s="118" t="e">
        <f>Table156810[[#This Row],[Total Cost Per Serving (N+O)/I]]*Table156810[[#This Row],[Estimated Servings Annual]]</f>
        <v>#DIV/0!</v>
      </c>
      <c r="U115" s="105">
        <f>(Table156810[[#This Row],[Commercial Bid Price per case for NOI ($)]]-Table156810[[#This Row],[Pass-Thru Value per case ($)]])+Table156810[[#This Row],[Region 2: Fixed Fee Per Case ($)]]</f>
        <v>0</v>
      </c>
      <c r="V115" s="24" t="e">
        <f>(Table156810[[#This Row],[Commercial Bid Price per case for NOI ($)]]+Table156810[[#This Row],[Region 2: Fixed Fee Per Case ($)]])/Table156810[[#This Row],['# of CN Servings per case]]</f>
        <v>#DIV/0!</v>
      </c>
      <c r="W115" s="20" t="e">
        <f>Table156810[[#This Row],[Total Cost Per Serving (N+P)/I]]*Table156810[[#This Row],[Estimated Servings Annual]]</f>
        <v>#DIV/0!</v>
      </c>
    </row>
    <row r="116" spans="1:23" x14ac:dyDescent="0.25">
      <c r="A116" s="45" t="s">
        <v>72</v>
      </c>
      <c r="B116" s="43" t="s">
        <v>124</v>
      </c>
      <c r="C116" s="7" t="s">
        <v>13</v>
      </c>
      <c r="D116" s="7"/>
      <c r="E116" s="7"/>
      <c r="F116" s="7"/>
      <c r="G116" s="7"/>
      <c r="H116" s="7"/>
      <c r="I116" s="7"/>
      <c r="J116" s="93">
        <v>150000</v>
      </c>
      <c r="K116" s="7"/>
      <c r="L116" s="7"/>
      <c r="M116" s="7"/>
      <c r="N116" s="7"/>
      <c r="O116" s="7"/>
      <c r="P116" s="7"/>
      <c r="Q116" s="110"/>
      <c r="R116" s="105">
        <f>(Table156810[[#This Row],[Commercial Bid Price per case for NOI ($)]]-Table156810[[#This Row],[Pass-Thru Value per case ($)]])+Table156810[[#This Row],[Region 1: Fixed Fee Per Case ($)]]</f>
        <v>0</v>
      </c>
      <c r="S116" s="18" t="e">
        <f>(Table156810[[#This Row],[Commercial Bid Price per case for NOI ($)]]+Table156810[[#This Row],[Region 1: Fixed Fee Per Case ($)]])/Table156810[[#This Row],['# of CN Servings per case]]</f>
        <v>#DIV/0!</v>
      </c>
      <c r="T116" s="118" t="e">
        <f>Table156810[[#This Row],[Total Cost Per Serving (N+O)/I]]*Table156810[[#This Row],[Estimated Servings Annual]]</f>
        <v>#DIV/0!</v>
      </c>
      <c r="U116" s="105">
        <f>(Table156810[[#This Row],[Commercial Bid Price per case for NOI ($)]]-Table156810[[#This Row],[Pass-Thru Value per case ($)]])+Table156810[[#This Row],[Region 2: Fixed Fee Per Case ($)]]</f>
        <v>0</v>
      </c>
      <c r="V116" s="24" t="e">
        <f>(Table156810[[#This Row],[Commercial Bid Price per case for NOI ($)]]+Table156810[[#This Row],[Region 2: Fixed Fee Per Case ($)]])/Table156810[[#This Row],['# of CN Servings per case]]</f>
        <v>#DIV/0!</v>
      </c>
      <c r="W116" s="20" t="e">
        <f>Table156810[[#This Row],[Total Cost Per Serving (N+P)/I]]*Table156810[[#This Row],[Estimated Servings Annual]]</f>
        <v>#DIV/0!</v>
      </c>
    </row>
    <row r="117" spans="1:23" x14ac:dyDescent="0.25">
      <c r="A117" s="45" t="s">
        <v>72</v>
      </c>
      <c r="B117" s="43" t="s">
        <v>124</v>
      </c>
      <c r="C117" s="7" t="s">
        <v>13</v>
      </c>
      <c r="D117" s="7"/>
      <c r="E117" s="7"/>
      <c r="F117" s="7"/>
      <c r="G117" s="7"/>
      <c r="H117" s="7"/>
      <c r="I117" s="7"/>
      <c r="J117" s="93">
        <v>150000</v>
      </c>
      <c r="K117" s="7"/>
      <c r="L117" s="7"/>
      <c r="M117" s="7"/>
      <c r="N117" s="7"/>
      <c r="O117" s="7"/>
      <c r="P117" s="7"/>
      <c r="Q117" s="110"/>
      <c r="R117" s="105">
        <f>(Table156810[[#This Row],[Commercial Bid Price per case for NOI ($)]]-Table156810[[#This Row],[Pass-Thru Value per case ($)]])+Table156810[[#This Row],[Region 1: Fixed Fee Per Case ($)]]</f>
        <v>0</v>
      </c>
      <c r="S117" s="18" t="e">
        <f>(Table156810[[#This Row],[Commercial Bid Price per case for NOI ($)]]+Table156810[[#This Row],[Region 1: Fixed Fee Per Case ($)]])/Table156810[[#This Row],['# of CN Servings per case]]</f>
        <v>#DIV/0!</v>
      </c>
      <c r="T117" s="118" t="e">
        <f>Table156810[[#This Row],[Total Cost Per Serving (N+O)/I]]*Table156810[[#This Row],[Estimated Servings Annual]]</f>
        <v>#DIV/0!</v>
      </c>
      <c r="U117" s="105">
        <f>(Table156810[[#This Row],[Commercial Bid Price per case for NOI ($)]]-Table156810[[#This Row],[Pass-Thru Value per case ($)]])+Table156810[[#This Row],[Region 2: Fixed Fee Per Case ($)]]</f>
        <v>0</v>
      </c>
      <c r="V117" s="24" t="e">
        <f>(Table156810[[#This Row],[Commercial Bid Price per case for NOI ($)]]+Table156810[[#This Row],[Region 2: Fixed Fee Per Case ($)]])/Table156810[[#This Row],['# of CN Servings per case]]</f>
        <v>#DIV/0!</v>
      </c>
      <c r="W117" s="20" t="e">
        <f>Table156810[[#This Row],[Total Cost Per Serving (N+P)/I]]*Table156810[[#This Row],[Estimated Servings Annual]]</f>
        <v>#DIV/0!</v>
      </c>
    </row>
    <row r="118" spans="1:23" ht="15.75" thickBot="1" x14ac:dyDescent="0.3">
      <c r="A118" s="45" t="s">
        <v>72</v>
      </c>
      <c r="B118" s="44" t="s">
        <v>124</v>
      </c>
      <c r="C118" s="9" t="s">
        <v>13</v>
      </c>
      <c r="D118" s="9"/>
      <c r="E118" s="9"/>
      <c r="F118" s="9"/>
      <c r="G118" s="9"/>
      <c r="H118" s="9"/>
      <c r="I118" s="9"/>
      <c r="J118" s="94">
        <v>150000</v>
      </c>
      <c r="K118" s="9"/>
      <c r="L118" s="9"/>
      <c r="M118" s="9"/>
      <c r="N118" s="9"/>
      <c r="O118" s="9"/>
      <c r="P118" s="9"/>
      <c r="Q118" s="111"/>
      <c r="R118" s="106">
        <f>(Table156810[[#This Row],[Commercial Bid Price per case for NOI ($)]]-Table156810[[#This Row],[Pass-Thru Value per case ($)]])+Table156810[[#This Row],[Region 1: Fixed Fee Per Case ($)]]</f>
        <v>0</v>
      </c>
      <c r="S118" s="21" t="e">
        <f>(Table156810[[#This Row],[Commercial Bid Price per case for NOI ($)]]+Table156810[[#This Row],[Region 1: Fixed Fee Per Case ($)]])/Table156810[[#This Row],['# of CN Servings per case]]</f>
        <v>#DIV/0!</v>
      </c>
      <c r="T118" s="120" t="e">
        <f>Table156810[[#This Row],[Total Cost Per Serving (N+O)/I]]*Table156810[[#This Row],[Estimated Servings Annual]]</f>
        <v>#DIV/0!</v>
      </c>
      <c r="U118" s="106">
        <f>(Table156810[[#This Row],[Commercial Bid Price per case for NOI ($)]]-Table156810[[#This Row],[Pass-Thru Value per case ($)]])+Table156810[[#This Row],[Region 2: Fixed Fee Per Case ($)]]</f>
        <v>0</v>
      </c>
      <c r="V118" s="25" t="e">
        <f>(Table156810[[#This Row],[Commercial Bid Price per case for NOI ($)]]+Table156810[[#This Row],[Region 2: Fixed Fee Per Case ($)]])/Table156810[[#This Row],['# of CN Servings per case]]</f>
        <v>#DIV/0!</v>
      </c>
      <c r="W118" s="23" t="e">
        <f>Table156810[[#This Row],[Total Cost Per Serving (N+P)/I]]*Table156810[[#This Row],[Estimated Servings Annual]]</f>
        <v>#DIV/0!</v>
      </c>
    </row>
    <row r="119" spans="1:23" x14ac:dyDescent="0.25">
      <c r="A119" s="45" t="s">
        <v>72</v>
      </c>
      <c r="B119" s="42" t="s">
        <v>125</v>
      </c>
      <c r="C119" s="3" t="s">
        <v>111</v>
      </c>
      <c r="D119" s="4"/>
      <c r="E119" s="4"/>
      <c r="F119" s="4"/>
      <c r="G119" s="4"/>
      <c r="H119" s="4"/>
      <c r="I119" s="4"/>
      <c r="J119" s="92">
        <v>80000</v>
      </c>
      <c r="K119" s="4"/>
      <c r="L119" s="4"/>
      <c r="M119" s="4"/>
      <c r="N119" s="4"/>
      <c r="O119" s="4"/>
      <c r="P119" s="4"/>
      <c r="Q119" s="109"/>
      <c r="R119" s="104">
        <f>(Table156810[[#This Row],[Commercial Bid Price per case for NOI ($)]]-Table156810[[#This Row],[Pass-Thru Value per case ($)]])+Table156810[[#This Row],[Region 1: Fixed Fee Per Case ($)]]</f>
        <v>0</v>
      </c>
      <c r="S119" s="15" t="e">
        <f>(Table156810[[#This Row],[Commercial Bid Price per case for NOI ($)]]+Table156810[[#This Row],[Region 1: Fixed Fee Per Case ($)]])/Table156810[[#This Row],['# of CN Servings per case]]</f>
        <v>#DIV/0!</v>
      </c>
      <c r="T119" s="115" t="e">
        <f>Table156810[[#This Row],[Total Cost Per Serving (N+O)/I]]*Table156810[[#This Row],[Estimated Servings Annual]]</f>
        <v>#DIV/0!</v>
      </c>
      <c r="U119" s="104">
        <f>(Table156810[[#This Row],[Commercial Bid Price per case for NOI ($)]]-Table156810[[#This Row],[Pass-Thru Value per case ($)]])+Table156810[[#This Row],[Region 2: Fixed Fee Per Case ($)]]</f>
        <v>0</v>
      </c>
      <c r="V119" s="31" t="e">
        <f>(Table156810[[#This Row],[Commercial Bid Price per case for NOI ($)]]+Table156810[[#This Row],[Region 2: Fixed Fee Per Case ($)]])/Table156810[[#This Row],['# of CN Servings per case]]</f>
        <v>#DIV/0!</v>
      </c>
      <c r="W119" s="17" t="e">
        <f>Table156810[[#This Row],[Total Cost Per Serving (N+P)/I]]*Table156810[[#This Row],[Estimated Servings Annual]]</f>
        <v>#DIV/0!</v>
      </c>
    </row>
    <row r="120" spans="1:23" x14ac:dyDescent="0.25">
      <c r="A120" s="45" t="s">
        <v>72</v>
      </c>
      <c r="B120" s="43" t="s">
        <v>125</v>
      </c>
      <c r="C120" s="6" t="s">
        <v>111</v>
      </c>
      <c r="D120" s="7"/>
      <c r="E120" s="7"/>
      <c r="F120" s="7"/>
      <c r="G120" s="7"/>
      <c r="H120" s="7"/>
      <c r="I120" s="7"/>
      <c r="J120" s="93">
        <v>80000</v>
      </c>
      <c r="K120" s="7"/>
      <c r="L120" s="7"/>
      <c r="M120" s="7"/>
      <c r="N120" s="7"/>
      <c r="O120" s="7"/>
      <c r="P120" s="7"/>
      <c r="Q120" s="110"/>
      <c r="R120" s="105">
        <f>(Table156810[[#This Row],[Commercial Bid Price per case for NOI ($)]]-Table156810[[#This Row],[Pass-Thru Value per case ($)]])+Table156810[[#This Row],[Region 1: Fixed Fee Per Case ($)]]</f>
        <v>0</v>
      </c>
      <c r="S120" s="18" t="e">
        <f>(Table156810[[#This Row],[Commercial Bid Price per case for NOI ($)]]+Table156810[[#This Row],[Region 1: Fixed Fee Per Case ($)]])/Table156810[[#This Row],['# of CN Servings per case]]</f>
        <v>#DIV/0!</v>
      </c>
      <c r="T120" s="118" t="e">
        <f>Table156810[[#This Row],[Total Cost Per Serving (N+O)/I]]*Table156810[[#This Row],[Estimated Servings Annual]]</f>
        <v>#DIV/0!</v>
      </c>
      <c r="U120" s="105">
        <f>(Table156810[[#This Row],[Commercial Bid Price per case for NOI ($)]]-Table156810[[#This Row],[Pass-Thru Value per case ($)]])+Table156810[[#This Row],[Region 2: Fixed Fee Per Case ($)]]</f>
        <v>0</v>
      </c>
      <c r="V120" s="24" t="e">
        <f>(Table156810[[#This Row],[Commercial Bid Price per case for NOI ($)]]+Table156810[[#This Row],[Region 2: Fixed Fee Per Case ($)]])/Table156810[[#This Row],['# of CN Servings per case]]</f>
        <v>#DIV/0!</v>
      </c>
      <c r="W120" s="20" t="e">
        <f>Table156810[[#This Row],[Total Cost Per Serving (N+P)/I]]*Table156810[[#This Row],[Estimated Servings Annual]]</f>
        <v>#DIV/0!</v>
      </c>
    </row>
    <row r="121" spans="1:23" x14ac:dyDescent="0.25">
      <c r="A121" s="45" t="s">
        <v>72</v>
      </c>
      <c r="B121" s="43" t="s">
        <v>125</v>
      </c>
      <c r="C121" s="6" t="s">
        <v>112</v>
      </c>
      <c r="D121" s="7"/>
      <c r="E121" s="7"/>
      <c r="F121" s="7"/>
      <c r="G121" s="7"/>
      <c r="H121" s="7"/>
      <c r="I121" s="7"/>
      <c r="J121" s="93">
        <v>80000</v>
      </c>
      <c r="K121" s="7"/>
      <c r="L121" s="7"/>
      <c r="M121" s="7"/>
      <c r="N121" s="7"/>
      <c r="O121" s="7"/>
      <c r="P121" s="7"/>
      <c r="Q121" s="110"/>
      <c r="R121" s="105">
        <f>(Table156810[[#This Row],[Commercial Bid Price per case for NOI ($)]]-Table156810[[#This Row],[Pass-Thru Value per case ($)]])+Table156810[[#This Row],[Region 1: Fixed Fee Per Case ($)]]</f>
        <v>0</v>
      </c>
      <c r="S121" s="18" t="e">
        <f>(Table156810[[#This Row],[Commercial Bid Price per case for NOI ($)]]+Table156810[[#This Row],[Region 1: Fixed Fee Per Case ($)]])/Table156810[[#This Row],['# of CN Servings per case]]</f>
        <v>#DIV/0!</v>
      </c>
      <c r="T121" s="118" t="e">
        <f>Table156810[[#This Row],[Total Cost Per Serving (N+O)/I]]*Table156810[[#This Row],[Estimated Servings Annual]]</f>
        <v>#DIV/0!</v>
      </c>
      <c r="U121" s="105">
        <f>(Table156810[[#This Row],[Commercial Bid Price per case for NOI ($)]]-Table156810[[#This Row],[Pass-Thru Value per case ($)]])+Table156810[[#This Row],[Region 2: Fixed Fee Per Case ($)]]</f>
        <v>0</v>
      </c>
      <c r="V121" s="24" t="e">
        <f>(Table156810[[#This Row],[Commercial Bid Price per case for NOI ($)]]+Table156810[[#This Row],[Region 2: Fixed Fee Per Case ($)]])/Table156810[[#This Row],['# of CN Servings per case]]</f>
        <v>#DIV/0!</v>
      </c>
      <c r="W121" s="20" t="e">
        <f>Table156810[[#This Row],[Total Cost Per Serving (N+P)/I]]*Table156810[[#This Row],[Estimated Servings Annual]]</f>
        <v>#DIV/0!</v>
      </c>
    </row>
    <row r="122" spans="1:23" x14ac:dyDescent="0.25">
      <c r="A122" s="45" t="s">
        <v>72</v>
      </c>
      <c r="B122" s="43" t="s">
        <v>125</v>
      </c>
      <c r="C122" s="6" t="s">
        <v>112</v>
      </c>
      <c r="D122" s="7"/>
      <c r="E122" s="7"/>
      <c r="F122" s="7"/>
      <c r="G122" s="7"/>
      <c r="H122" s="7"/>
      <c r="I122" s="7"/>
      <c r="J122" s="93">
        <v>80000</v>
      </c>
      <c r="K122" s="7"/>
      <c r="L122" s="7"/>
      <c r="M122" s="7"/>
      <c r="N122" s="7"/>
      <c r="O122" s="7"/>
      <c r="P122" s="7"/>
      <c r="Q122" s="110"/>
      <c r="R122" s="105">
        <f>(Table156810[[#This Row],[Commercial Bid Price per case for NOI ($)]]-Table156810[[#This Row],[Pass-Thru Value per case ($)]])+Table156810[[#This Row],[Region 1: Fixed Fee Per Case ($)]]</f>
        <v>0</v>
      </c>
      <c r="S122" s="18" t="e">
        <f>(Table156810[[#This Row],[Commercial Bid Price per case for NOI ($)]]+Table156810[[#This Row],[Region 1: Fixed Fee Per Case ($)]])/Table156810[[#This Row],['# of CN Servings per case]]</f>
        <v>#DIV/0!</v>
      </c>
      <c r="T122" s="118" t="e">
        <f>Table156810[[#This Row],[Total Cost Per Serving (N+O)/I]]*Table156810[[#This Row],[Estimated Servings Annual]]</f>
        <v>#DIV/0!</v>
      </c>
      <c r="U122" s="105">
        <f>(Table156810[[#This Row],[Commercial Bid Price per case for NOI ($)]]-Table156810[[#This Row],[Pass-Thru Value per case ($)]])+Table156810[[#This Row],[Region 2: Fixed Fee Per Case ($)]]</f>
        <v>0</v>
      </c>
      <c r="V122" s="24" t="e">
        <f>(Table156810[[#This Row],[Commercial Bid Price per case for NOI ($)]]+Table156810[[#This Row],[Region 2: Fixed Fee Per Case ($)]])/Table156810[[#This Row],['# of CN Servings per case]]</f>
        <v>#DIV/0!</v>
      </c>
      <c r="W122" s="20" t="e">
        <f>Table156810[[#This Row],[Total Cost Per Serving (N+P)/I]]*Table156810[[#This Row],[Estimated Servings Annual]]</f>
        <v>#DIV/0!</v>
      </c>
    </row>
    <row r="123" spans="1:23" x14ac:dyDescent="0.25">
      <c r="A123" s="45" t="s">
        <v>72</v>
      </c>
      <c r="B123" s="43" t="s">
        <v>125</v>
      </c>
      <c r="C123" s="6" t="s">
        <v>113</v>
      </c>
      <c r="D123" s="7"/>
      <c r="E123" s="7"/>
      <c r="F123" s="7"/>
      <c r="G123" s="7"/>
      <c r="H123" s="7"/>
      <c r="I123" s="7"/>
      <c r="J123" s="93">
        <v>80000</v>
      </c>
      <c r="K123" s="7"/>
      <c r="L123" s="7"/>
      <c r="M123" s="7"/>
      <c r="N123" s="7"/>
      <c r="O123" s="7"/>
      <c r="P123" s="7"/>
      <c r="Q123" s="110"/>
      <c r="R123" s="105">
        <f>(Table156810[[#This Row],[Commercial Bid Price per case for NOI ($)]]-Table156810[[#This Row],[Pass-Thru Value per case ($)]])+Table156810[[#This Row],[Region 1: Fixed Fee Per Case ($)]]</f>
        <v>0</v>
      </c>
      <c r="S123" s="18" t="e">
        <f>(Table156810[[#This Row],[Commercial Bid Price per case for NOI ($)]]+Table156810[[#This Row],[Region 1: Fixed Fee Per Case ($)]])/Table156810[[#This Row],['# of CN Servings per case]]</f>
        <v>#DIV/0!</v>
      </c>
      <c r="T123" s="118" t="e">
        <f>Table156810[[#This Row],[Total Cost Per Serving (N+O)/I]]*Table156810[[#This Row],[Estimated Servings Annual]]</f>
        <v>#DIV/0!</v>
      </c>
      <c r="U123" s="105">
        <f>(Table156810[[#This Row],[Commercial Bid Price per case for NOI ($)]]-Table156810[[#This Row],[Pass-Thru Value per case ($)]])+Table156810[[#This Row],[Region 2: Fixed Fee Per Case ($)]]</f>
        <v>0</v>
      </c>
      <c r="V123" s="24" t="e">
        <f>(Table156810[[#This Row],[Commercial Bid Price per case for NOI ($)]]+Table156810[[#This Row],[Region 2: Fixed Fee Per Case ($)]])/Table156810[[#This Row],['# of CN Servings per case]]</f>
        <v>#DIV/0!</v>
      </c>
      <c r="W123" s="20" t="e">
        <f>Table156810[[#This Row],[Total Cost Per Serving (N+P)/I]]*Table156810[[#This Row],[Estimated Servings Annual]]</f>
        <v>#DIV/0!</v>
      </c>
    </row>
    <row r="124" spans="1:23" x14ac:dyDescent="0.25">
      <c r="A124" s="45" t="s">
        <v>72</v>
      </c>
      <c r="B124" s="43" t="s">
        <v>125</v>
      </c>
      <c r="C124" s="6" t="s">
        <v>113</v>
      </c>
      <c r="D124" s="7"/>
      <c r="E124" s="7"/>
      <c r="F124" s="7"/>
      <c r="G124" s="7"/>
      <c r="H124" s="7"/>
      <c r="I124" s="7"/>
      <c r="J124" s="93">
        <v>80000</v>
      </c>
      <c r="K124" s="7"/>
      <c r="L124" s="7"/>
      <c r="M124" s="7"/>
      <c r="N124" s="7"/>
      <c r="O124" s="7"/>
      <c r="P124" s="7"/>
      <c r="Q124" s="110"/>
      <c r="R124" s="105">
        <f>(Table156810[[#This Row],[Commercial Bid Price per case for NOI ($)]]-Table156810[[#This Row],[Pass-Thru Value per case ($)]])+Table156810[[#This Row],[Region 1: Fixed Fee Per Case ($)]]</f>
        <v>0</v>
      </c>
      <c r="S124" s="18" t="e">
        <f>(Table156810[[#This Row],[Commercial Bid Price per case for NOI ($)]]+Table156810[[#This Row],[Region 1: Fixed Fee Per Case ($)]])/Table156810[[#This Row],['# of CN Servings per case]]</f>
        <v>#DIV/0!</v>
      </c>
      <c r="T124" s="118" t="e">
        <f>Table156810[[#This Row],[Total Cost Per Serving (N+O)/I]]*Table156810[[#This Row],[Estimated Servings Annual]]</f>
        <v>#DIV/0!</v>
      </c>
      <c r="U124" s="105">
        <f>(Table156810[[#This Row],[Commercial Bid Price per case for NOI ($)]]-Table156810[[#This Row],[Pass-Thru Value per case ($)]])+Table156810[[#This Row],[Region 2: Fixed Fee Per Case ($)]]</f>
        <v>0</v>
      </c>
      <c r="V124" s="24" t="e">
        <f>(Table156810[[#This Row],[Commercial Bid Price per case for NOI ($)]]+Table156810[[#This Row],[Region 2: Fixed Fee Per Case ($)]])/Table156810[[#This Row],['# of CN Servings per case]]</f>
        <v>#DIV/0!</v>
      </c>
      <c r="W124" s="20" t="e">
        <f>Table156810[[#This Row],[Total Cost Per Serving (N+P)/I]]*Table156810[[#This Row],[Estimated Servings Annual]]</f>
        <v>#DIV/0!</v>
      </c>
    </row>
    <row r="125" spans="1:23" x14ac:dyDescent="0.25">
      <c r="A125" s="45" t="s">
        <v>72</v>
      </c>
      <c r="B125" s="43" t="s">
        <v>125</v>
      </c>
      <c r="C125" s="7" t="s">
        <v>13</v>
      </c>
      <c r="D125" s="7"/>
      <c r="E125" s="7"/>
      <c r="F125" s="7"/>
      <c r="G125" s="7"/>
      <c r="H125" s="7"/>
      <c r="I125" s="7"/>
      <c r="J125" s="93">
        <v>80000</v>
      </c>
      <c r="K125" s="7"/>
      <c r="L125" s="7"/>
      <c r="M125" s="7"/>
      <c r="N125" s="7"/>
      <c r="O125" s="7"/>
      <c r="P125" s="7"/>
      <c r="Q125" s="110"/>
      <c r="R125" s="105">
        <f>(Table156810[[#This Row],[Commercial Bid Price per case for NOI ($)]]-Table156810[[#This Row],[Pass-Thru Value per case ($)]])+Table156810[[#This Row],[Region 1: Fixed Fee Per Case ($)]]</f>
        <v>0</v>
      </c>
      <c r="S125" s="18" t="e">
        <f>(Table156810[[#This Row],[Commercial Bid Price per case for NOI ($)]]+Table156810[[#This Row],[Region 1: Fixed Fee Per Case ($)]])/Table156810[[#This Row],['# of CN Servings per case]]</f>
        <v>#DIV/0!</v>
      </c>
      <c r="T125" s="118" t="e">
        <f>Table156810[[#This Row],[Total Cost Per Serving (N+O)/I]]*Table156810[[#This Row],[Estimated Servings Annual]]</f>
        <v>#DIV/0!</v>
      </c>
      <c r="U125" s="105">
        <f>(Table156810[[#This Row],[Commercial Bid Price per case for NOI ($)]]-Table156810[[#This Row],[Pass-Thru Value per case ($)]])+Table156810[[#This Row],[Region 2: Fixed Fee Per Case ($)]]</f>
        <v>0</v>
      </c>
      <c r="V125" s="24" t="e">
        <f>(Table156810[[#This Row],[Commercial Bid Price per case for NOI ($)]]+Table156810[[#This Row],[Region 2: Fixed Fee Per Case ($)]])/Table156810[[#This Row],['# of CN Servings per case]]</f>
        <v>#DIV/0!</v>
      </c>
      <c r="W125" s="20" t="e">
        <f>Table156810[[#This Row],[Total Cost Per Serving (N+P)/I]]*Table156810[[#This Row],[Estimated Servings Annual]]</f>
        <v>#DIV/0!</v>
      </c>
    </row>
    <row r="126" spans="1:23" x14ac:dyDescent="0.25">
      <c r="A126" s="45" t="s">
        <v>72</v>
      </c>
      <c r="B126" s="43" t="s">
        <v>125</v>
      </c>
      <c r="C126" s="7" t="s">
        <v>13</v>
      </c>
      <c r="D126" s="7"/>
      <c r="E126" s="7"/>
      <c r="F126" s="7"/>
      <c r="G126" s="7"/>
      <c r="H126" s="7"/>
      <c r="I126" s="7"/>
      <c r="J126" s="93">
        <v>80000</v>
      </c>
      <c r="K126" s="7"/>
      <c r="L126" s="7"/>
      <c r="M126" s="7"/>
      <c r="N126" s="7"/>
      <c r="O126" s="7"/>
      <c r="P126" s="7"/>
      <c r="Q126" s="110"/>
      <c r="R126" s="105">
        <f>(Table156810[[#This Row],[Commercial Bid Price per case for NOI ($)]]-Table156810[[#This Row],[Pass-Thru Value per case ($)]])+Table156810[[#This Row],[Region 1: Fixed Fee Per Case ($)]]</f>
        <v>0</v>
      </c>
      <c r="S126" s="18" t="e">
        <f>(Table156810[[#This Row],[Commercial Bid Price per case for NOI ($)]]+Table156810[[#This Row],[Region 1: Fixed Fee Per Case ($)]])/Table156810[[#This Row],['# of CN Servings per case]]</f>
        <v>#DIV/0!</v>
      </c>
      <c r="T126" s="118" t="e">
        <f>Table156810[[#This Row],[Total Cost Per Serving (N+O)/I]]*Table156810[[#This Row],[Estimated Servings Annual]]</f>
        <v>#DIV/0!</v>
      </c>
      <c r="U126" s="105">
        <f>(Table156810[[#This Row],[Commercial Bid Price per case for NOI ($)]]-Table156810[[#This Row],[Pass-Thru Value per case ($)]])+Table156810[[#This Row],[Region 2: Fixed Fee Per Case ($)]]</f>
        <v>0</v>
      </c>
      <c r="V126" s="24" t="e">
        <f>(Table156810[[#This Row],[Commercial Bid Price per case for NOI ($)]]+Table156810[[#This Row],[Region 2: Fixed Fee Per Case ($)]])/Table156810[[#This Row],['# of CN Servings per case]]</f>
        <v>#DIV/0!</v>
      </c>
      <c r="W126" s="20" t="e">
        <f>Table156810[[#This Row],[Total Cost Per Serving (N+P)/I]]*Table156810[[#This Row],[Estimated Servings Annual]]</f>
        <v>#DIV/0!</v>
      </c>
    </row>
    <row r="127" spans="1:23" x14ac:dyDescent="0.25">
      <c r="A127" s="45" t="s">
        <v>72</v>
      </c>
      <c r="B127" s="43" t="s">
        <v>125</v>
      </c>
      <c r="C127" s="7" t="s">
        <v>13</v>
      </c>
      <c r="D127" s="7"/>
      <c r="E127" s="7"/>
      <c r="F127" s="7"/>
      <c r="G127" s="7"/>
      <c r="H127" s="7"/>
      <c r="I127" s="7"/>
      <c r="J127" s="93">
        <v>80000</v>
      </c>
      <c r="K127" s="7"/>
      <c r="L127" s="7"/>
      <c r="M127" s="7"/>
      <c r="N127" s="7"/>
      <c r="O127" s="7"/>
      <c r="P127" s="7"/>
      <c r="Q127" s="110"/>
      <c r="R127" s="105">
        <f>(Table156810[[#This Row],[Commercial Bid Price per case for NOI ($)]]-Table156810[[#This Row],[Pass-Thru Value per case ($)]])+Table156810[[#This Row],[Region 1: Fixed Fee Per Case ($)]]</f>
        <v>0</v>
      </c>
      <c r="S127" s="18" t="e">
        <f>(Table156810[[#This Row],[Commercial Bid Price per case for NOI ($)]]+Table156810[[#This Row],[Region 1: Fixed Fee Per Case ($)]])/Table156810[[#This Row],['# of CN Servings per case]]</f>
        <v>#DIV/0!</v>
      </c>
      <c r="T127" s="118" t="e">
        <f>Table156810[[#This Row],[Total Cost Per Serving (N+O)/I]]*Table156810[[#This Row],[Estimated Servings Annual]]</f>
        <v>#DIV/0!</v>
      </c>
      <c r="U127" s="105">
        <f>(Table156810[[#This Row],[Commercial Bid Price per case for NOI ($)]]-Table156810[[#This Row],[Pass-Thru Value per case ($)]])+Table156810[[#This Row],[Region 2: Fixed Fee Per Case ($)]]</f>
        <v>0</v>
      </c>
      <c r="V127" s="24" t="e">
        <f>(Table156810[[#This Row],[Commercial Bid Price per case for NOI ($)]]+Table156810[[#This Row],[Region 2: Fixed Fee Per Case ($)]])/Table156810[[#This Row],['# of CN Servings per case]]</f>
        <v>#DIV/0!</v>
      </c>
      <c r="W127" s="20" t="e">
        <f>Table156810[[#This Row],[Total Cost Per Serving (N+P)/I]]*Table156810[[#This Row],[Estimated Servings Annual]]</f>
        <v>#DIV/0!</v>
      </c>
    </row>
    <row r="128" spans="1:23" ht="15.75" thickBot="1" x14ac:dyDescent="0.3">
      <c r="A128" s="45" t="s">
        <v>72</v>
      </c>
      <c r="B128" s="44" t="s">
        <v>125</v>
      </c>
      <c r="C128" s="9" t="s">
        <v>13</v>
      </c>
      <c r="D128" s="9"/>
      <c r="E128" s="9"/>
      <c r="F128" s="9"/>
      <c r="G128" s="9"/>
      <c r="H128" s="9"/>
      <c r="I128" s="9"/>
      <c r="J128" s="94">
        <v>80000</v>
      </c>
      <c r="K128" s="9"/>
      <c r="L128" s="9"/>
      <c r="M128" s="9"/>
      <c r="N128" s="9"/>
      <c r="O128" s="9"/>
      <c r="P128" s="9"/>
      <c r="Q128" s="111"/>
      <c r="R128" s="106">
        <f>(Table156810[[#This Row],[Commercial Bid Price per case for NOI ($)]]-Table156810[[#This Row],[Pass-Thru Value per case ($)]])+Table156810[[#This Row],[Region 1: Fixed Fee Per Case ($)]]</f>
        <v>0</v>
      </c>
      <c r="S128" s="21" t="e">
        <f>(Table156810[[#This Row],[Commercial Bid Price per case for NOI ($)]]+Table156810[[#This Row],[Region 1: Fixed Fee Per Case ($)]])/Table156810[[#This Row],['# of CN Servings per case]]</f>
        <v>#DIV/0!</v>
      </c>
      <c r="T128" s="120" t="e">
        <f>Table156810[[#This Row],[Total Cost Per Serving (N+O)/I]]*Table156810[[#This Row],[Estimated Servings Annual]]</f>
        <v>#DIV/0!</v>
      </c>
      <c r="U128" s="106">
        <f>(Table156810[[#This Row],[Commercial Bid Price per case for NOI ($)]]-Table156810[[#This Row],[Pass-Thru Value per case ($)]])+Table156810[[#This Row],[Region 2: Fixed Fee Per Case ($)]]</f>
        <v>0</v>
      </c>
      <c r="V128" s="25" t="e">
        <f>(Table156810[[#This Row],[Commercial Bid Price per case for NOI ($)]]+Table156810[[#This Row],[Region 2: Fixed Fee Per Case ($)]])/Table156810[[#This Row],['# of CN Servings per case]]</f>
        <v>#DIV/0!</v>
      </c>
      <c r="W128" s="23" t="e">
        <f>Table156810[[#This Row],[Total Cost Per Serving (N+P)/I]]*Table156810[[#This Row],[Estimated Servings Annual]]</f>
        <v>#DIV/0!</v>
      </c>
    </row>
    <row r="129" spans="1:23" x14ac:dyDescent="0.25">
      <c r="A129" s="45" t="s">
        <v>72</v>
      </c>
      <c r="B129" s="42" t="s">
        <v>164</v>
      </c>
      <c r="C129" s="3" t="s">
        <v>111</v>
      </c>
      <c r="D129" s="4"/>
      <c r="E129" s="4"/>
      <c r="F129" s="4"/>
      <c r="G129" s="4"/>
      <c r="H129" s="4"/>
      <c r="I129" s="4"/>
      <c r="J129" s="92">
        <v>1600000</v>
      </c>
      <c r="K129" s="4"/>
      <c r="L129" s="4"/>
      <c r="M129" s="4"/>
      <c r="N129" s="4"/>
      <c r="O129" s="4"/>
      <c r="P129" s="4"/>
      <c r="Q129" s="109"/>
      <c r="R129" s="104">
        <f>(Table156810[[#This Row],[Commercial Bid Price per case for NOI ($)]]-Table156810[[#This Row],[Pass-Thru Value per case ($)]])+Table156810[[#This Row],[Region 1: Fixed Fee Per Case ($)]]</f>
        <v>0</v>
      </c>
      <c r="S129" s="15" t="e">
        <f>(Table156810[[#This Row],[Commercial Bid Price per case for NOI ($)]]+Table156810[[#This Row],[Region 1: Fixed Fee Per Case ($)]])/Table156810[[#This Row],['# of CN Servings per case]]</f>
        <v>#DIV/0!</v>
      </c>
      <c r="T129" s="115" t="e">
        <f>Table156810[[#This Row],[Total Cost Per Serving (N+O)/I]]*Table156810[[#This Row],[Estimated Servings Annual]]</f>
        <v>#DIV/0!</v>
      </c>
      <c r="U129" s="104">
        <f>(Table156810[[#This Row],[Commercial Bid Price per case for NOI ($)]]-Table156810[[#This Row],[Pass-Thru Value per case ($)]])+Table156810[[#This Row],[Region 2: Fixed Fee Per Case ($)]]</f>
        <v>0</v>
      </c>
      <c r="V129" s="31" t="e">
        <f>(Table156810[[#This Row],[Commercial Bid Price per case for NOI ($)]]+Table156810[[#This Row],[Region 2: Fixed Fee Per Case ($)]])/Table156810[[#This Row],['# of CN Servings per case]]</f>
        <v>#DIV/0!</v>
      </c>
      <c r="W129" s="17" t="e">
        <f>Table156810[[#This Row],[Total Cost Per Serving (N+P)/I]]*Table156810[[#This Row],[Estimated Servings Annual]]</f>
        <v>#DIV/0!</v>
      </c>
    </row>
    <row r="130" spans="1:23" x14ac:dyDescent="0.25">
      <c r="A130" s="45" t="s">
        <v>72</v>
      </c>
      <c r="B130" s="43" t="s">
        <v>164</v>
      </c>
      <c r="C130" s="6" t="s">
        <v>111</v>
      </c>
      <c r="D130" s="7"/>
      <c r="E130" s="7"/>
      <c r="F130" s="7"/>
      <c r="G130" s="7"/>
      <c r="H130" s="7"/>
      <c r="I130" s="7"/>
      <c r="J130" s="93">
        <v>1600000</v>
      </c>
      <c r="K130" s="7"/>
      <c r="L130" s="7"/>
      <c r="M130" s="7"/>
      <c r="N130" s="7"/>
      <c r="O130" s="7"/>
      <c r="P130" s="7"/>
      <c r="Q130" s="110"/>
      <c r="R130" s="105">
        <f>(Table156810[[#This Row],[Commercial Bid Price per case for NOI ($)]]-Table156810[[#This Row],[Pass-Thru Value per case ($)]])+Table156810[[#This Row],[Region 1: Fixed Fee Per Case ($)]]</f>
        <v>0</v>
      </c>
      <c r="S130" s="18" t="e">
        <f>(Table156810[[#This Row],[Commercial Bid Price per case for NOI ($)]]+Table156810[[#This Row],[Region 1: Fixed Fee Per Case ($)]])/Table156810[[#This Row],['# of CN Servings per case]]</f>
        <v>#DIV/0!</v>
      </c>
      <c r="T130" s="118" t="e">
        <f>Table156810[[#This Row],[Total Cost Per Serving (N+O)/I]]*Table156810[[#This Row],[Estimated Servings Annual]]</f>
        <v>#DIV/0!</v>
      </c>
      <c r="U130" s="105">
        <f>(Table156810[[#This Row],[Commercial Bid Price per case for NOI ($)]]-Table156810[[#This Row],[Pass-Thru Value per case ($)]])+Table156810[[#This Row],[Region 2: Fixed Fee Per Case ($)]]</f>
        <v>0</v>
      </c>
      <c r="V130" s="24" t="e">
        <f>(Table156810[[#This Row],[Commercial Bid Price per case for NOI ($)]]+Table156810[[#This Row],[Region 2: Fixed Fee Per Case ($)]])/Table156810[[#This Row],['# of CN Servings per case]]</f>
        <v>#DIV/0!</v>
      </c>
      <c r="W130" s="20" t="e">
        <f>Table156810[[#This Row],[Total Cost Per Serving (N+P)/I]]*Table156810[[#This Row],[Estimated Servings Annual]]</f>
        <v>#DIV/0!</v>
      </c>
    </row>
    <row r="131" spans="1:23" x14ac:dyDescent="0.25">
      <c r="A131" s="45" t="s">
        <v>72</v>
      </c>
      <c r="B131" s="43" t="s">
        <v>164</v>
      </c>
      <c r="C131" s="6" t="s">
        <v>112</v>
      </c>
      <c r="D131" s="7"/>
      <c r="E131" s="7"/>
      <c r="F131" s="7"/>
      <c r="G131" s="7"/>
      <c r="H131" s="7"/>
      <c r="I131" s="7"/>
      <c r="J131" s="93">
        <v>1600000</v>
      </c>
      <c r="K131" s="7"/>
      <c r="L131" s="7"/>
      <c r="M131" s="7"/>
      <c r="N131" s="7"/>
      <c r="O131" s="7"/>
      <c r="P131" s="7"/>
      <c r="Q131" s="110"/>
      <c r="R131" s="105">
        <f>(Table156810[[#This Row],[Commercial Bid Price per case for NOI ($)]]-Table156810[[#This Row],[Pass-Thru Value per case ($)]])+Table156810[[#This Row],[Region 1: Fixed Fee Per Case ($)]]</f>
        <v>0</v>
      </c>
      <c r="S131" s="18" t="e">
        <f>(Table156810[[#This Row],[Commercial Bid Price per case for NOI ($)]]+Table156810[[#This Row],[Region 1: Fixed Fee Per Case ($)]])/Table156810[[#This Row],['# of CN Servings per case]]</f>
        <v>#DIV/0!</v>
      </c>
      <c r="T131" s="118" t="e">
        <f>Table156810[[#This Row],[Total Cost Per Serving (N+O)/I]]*Table156810[[#This Row],[Estimated Servings Annual]]</f>
        <v>#DIV/0!</v>
      </c>
      <c r="U131" s="105">
        <f>(Table156810[[#This Row],[Commercial Bid Price per case for NOI ($)]]-Table156810[[#This Row],[Pass-Thru Value per case ($)]])+Table156810[[#This Row],[Region 2: Fixed Fee Per Case ($)]]</f>
        <v>0</v>
      </c>
      <c r="V131" s="24" t="e">
        <f>(Table156810[[#This Row],[Commercial Bid Price per case for NOI ($)]]+Table156810[[#This Row],[Region 2: Fixed Fee Per Case ($)]])/Table156810[[#This Row],['# of CN Servings per case]]</f>
        <v>#DIV/0!</v>
      </c>
      <c r="W131" s="20" t="e">
        <f>Table156810[[#This Row],[Total Cost Per Serving (N+P)/I]]*Table156810[[#This Row],[Estimated Servings Annual]]</f>
        <v>#DIV/0!</v>
      </c>
    </row>
    <row r="132" spans="1:23" x14ac:dyDescent="0.25">
      <c r="A132" s="45" t="s">
        <v>72</v>
      </c>
      <c r="B132" s="43" t="s">
        <v>164</v>
      </c>
      <c r="C132" s="6" t="s">
        <v>112</v>
      </c>
      <c r="D132" s="7"/>
      <c r="E132" s="7"/>
      <c r="F132" s="7"/>
      <c r="G132" s="7"/>
      <c r="H132" s="7"/>
      <c r="I132" s="7"/>
      <c r="J132" s="93">
        <v>1600000</v>
      </c>
      <c r="K132" s="7"/>
      <c r="L132" s="7"/>
      <c r="M132" s="7"/>
      <c r="N132" s="7"/>
      <c r="O132" s="7"/>
      <c r="P132" s="7"/>
      <c r="Q132" s="110"/>
      <c r="R132" s="105">
        <f>(Table156810[[#This Row],[Commercial Bid Price per case for NOI ($)]]-Table156810[[#This Row],[Pass-Thru Value per case ($)]])+Table156810[[#This Row],[Region 1: Fixed Fee Per Case ($)]]</f>
        <v>0</v>
      </c>
      <c r="S132" s="18" t="e">
        <f>(Table156810[[#This Row],[Commercial Bid Price per case for NOI ($)]]+Table156810[[#This Row],[Region 1: Fixed Fee Per Case ($)]])/Table156810[[#This Row],['# of CN Servings per case]]</f>
        <v>#DIV/0!</v>
      </c>
      <c r="T132" s="118" t="e">
        <f>Table156810[[#This Row],[Total Cost Per Serving (N+O)/I]]*Table156810[[#This Row],[Estimated Servings Annual]]</f>
        <v>#DIV/0!</v>
      </c>
      <c r="U132" s="105">
        <f>(Table156810[[#This Row],[Commercial Bid Price per case for NOI ($)]]-Table156810[[#This Row],[Pass-Thru Value per case ($)]])+Table156810[[#This Row],[Region 2: Fixed Fee Per Case ($)]]</f>
        <v>0</v>
      </c>
      <c r="V132" s="24" t="e">
        <f>(Table156810[[#This Row],[Commercial Bid Price per case for NOI ($)]]+Table156810[[#This Row],[Region 2: Fixed Fee Per Case ($)]])/Table156810[[#This Row],['# of CN Servings per case]]</f>
        <v>#DIV/0!</v>
      </c>
      <c r="W132" s="20" t="e">
        <f>Table156810[[#This Row],[Total Cost Per Serving (N+P)/I]]*Table156810[[#This Row],[Estimated Servings Annual]]</f>
        <v>#DIV/0!</v>
      </c>
    </row>
    <row r="133" spans="1:23" x14ac:dyDescent="0.25">
      <c r="A133" s="45" t="s">
        <v>72</v>
      </c>
      <c r="B133" s="43" t="s">
        <v>164</v>
      </c>
      <c r="C133" s="7" t="s">
        <v>13</v>
      </c>
      <c r="D133" s="7"/>
      <c r="E133" s="7"/>
      <c r="F133" s="7"/>
      <c r="G133" s="7"/>
      <c r="H133" s="7"/>
      <c r="I133" s="7"/>
      <c r="J133" s="93">
        <v>1600000</v>
      </c>
      <c r="K133" s="7"/>
      <c r="L133" s="7"/>
      <c r="M133" s="7"/>
      <c r="N133" s="7"/>
      <c r="O133" s="7"/>
      <c r="P133" s="7"/>
      <c r="Q133" s="110"/>
      <c r="R133" s="105">
        <f>(Table156810[[#This Row],[Commercial Bid Price per case for NOI ($)]]-Table156810[[#This Row],[Pass-Thru Value per case ($)]])+Table156810[[#This Row],[Region 1: Fixed Fee Per Case ($)]]</f>
        <v>0</v>
      </c>
      <c r="S133" s="18" t="e">
        <f>(Table156810[[#This Row],[Commercial Bid Price per case for NOI ($)]]+Table156810[[#This Row],[Region 1: Fixed Fee Per Case ($)]])/Table156810[[#This Row],['# of CN Servings per case]]</f>
        <v>#DIV/0!</v>
      </c>
      <c r="T133" s="118" t="e">
        <f>Table156810[[#This Row],[Total Cost Per Serving (N+O)/I]]*Table156810[[#This Row],[Estimated Servings Annual]]</f>
        <v>#DIV/0!</v>
      </c>
      <c r="U133" s="105">
        <f>(Table156810[[#This Row],[Commercial Bid Price per case for NOI ($)]]-Table156810[[#This Row],[Pass-Thru Value per case ($)]])+Table156810[[#This Row],[Region 2: Fixed Fee Per Case ($)]]</f>
        <v>0</v>
      </c>
      <c r="V133" s="24" t="e">
        <f>(Table156810[[#This Row],[Commercial Bid Price per case for NOI ($)]]+Table156810[[#This Row],[Region 2: Fixed Fee Per Case ($)]])/Table156810[[#This Row],['# of CN Servings per case]]</f>
        <v>#DIV/0!</v>
      </c>
      <c r="W133" s="20" t="e">
        <f>Table156810[[#This Row],[Total Cost Per Serving (N+P)/I]]*Table156810[[#This Row],[Estimated Servings Annual]]</f>
        <v>#DIV/0!</v>
      </c>
    </row>
    <row r="134" spans="1:23" x14ac:dyDescent="0.25">
      <c r="A134" s="45" t="s">
        <v>72</v>
      </c>
      <c r="B134" s="43" t="s">
        <v>164</v>
      </c>
      <c r="C134" s="7" t="s">
        <v>13</v>
      </c>
      <c r="D134" s="7"/>
      <c r="E134" s="7"/>
      <c r="F134" s="7"/>
      <c r="G134" s="7"/>
      <c r="H134" s="7"/>
      <c r="I134" s="7"/>
      <c r="J134" s="93">
        <v>1600000</v>
      </c>
      <c r="K134" s="7"/>
      <c r="L134" s="7"/>
      <c r="M134" s="7"/>
      <c r="N134" s="7"/>
      <c r="O134" s="7"/>
      <c r="P134" s="7"/>
      <c r="Q134" s="110"/>
      <c r="R134" s="105">
        <f>(Table156810[[#This Row],[Commercial Bid Price per case for NOI ($)]]-Table156810[[#This Row],[Pass-Thru Value per case ($)]])+Table156810[[#This Row],[Region 1: Fixed Fee Per Case ($)]]</f>
        <v>0</v>
      </c>
      <c r="S134" s="18" t="e">
        <f>(Table156810[[#This Row],[Commercial Bid Price per case for NOI ($)]]+Table156810[[#This Row],[Region 1: Fixed Fee Per Case ($)]])/Table156810[[#This Row],['# of CN Servings per case]]</f>
        <v>#DIV/0!</v>
      </c>
      <c r="T134" s="118" t="e">
        <f>Table156810[[#This Row],[Total Cost Per Serving (N+O)/I]]*Table156810[[#This Row],[Estimated Servings Annual]]</f>
        <v>#DIV/0!</v>
      </c>
      <c r="U134" s="105">
        <f>(Table156810[[#This Row],[Commercial Bid Price per case for NOI ($)]]-Table156810[[#This Row],[Pass-Thru Value per case ($)]])+Table156810[[#This Row],[Region 2: Fixed Fee Per Case ($)]]</f>
        <v>0</v>
      </c>
      <c r="V134" s="24" t="e">
        <f>(Table156810[[#This Row],[Commercial Bid Price per case for NOI ($)]]+Table156810[[#This Row],[Region 2: Fixed Fee Per Case ($)]])/Table156810[[#This Row],['# of CN Servings per case]]</f>
        <v>#DIV/0!</v>
      </c>
      <c r="W134" s="20" t="e">
        <f>Table156810[[#This Row],[Total Cost Per Serving (N+P)/I]]*Table156810[[#This Row],[Estimated Servings Annual]]</f>
        <v>#DIV/0!</v>
      </c>
    </row>
    <row r="135" spans="1:23" x14ac:dyDescent="0.25">
      <c r="A135" s="45" t="s">
        <v>72</v>
      </c>
      <c r="B135" s="43" t="s">
        <v>164</v>
      </c>
      <c r="C135" s="7" t="s">
        <v>13</v>
      </c>
      <c r="D135" s="7"/>
      <c r="E135" s="7"/>
      <c r="F135" s="7"/>
      <c r="G135" s="7"/>
      <c r="H135" s="7"/>
      <c r="I135" s="7"/>
      <c r="J135" s="93">
        <v>1600000</v>
      </c>
      <c r="K135" s="7"/>
      <c r="L135" s="7"/>
      <c r="M135" s="7"/>
      <c r="N135" s="7"/>
      <c r="O135" s="7"/>
      <c r="P135" s="7"/>
      <c r="Q135" s="110"/>
      <c r="R135" s="105">
        <f>(Table156810[[#This Row],[Commercial Bid Price per case for NOI ($)]]-Table156810[[#This Row],[Pass-Thru Value per case ($)]])+Table156810[[#This Row],[Region 1: Fixed Fee Per Case ($)]]</f>
        <v>0</v>
      </c>
      <c r="S135" s="18" t="e">
        <f>(Table156810[[#This Row],[Commercial Bid Price per case for NOI ($)]]+Table156810[[#This Row],[Region 1: Fixed Fee Per Case ($)]])/Table156810[[#This Row],['# of CN Servings per case]]</f>
        <v>#DIV/0!</v>
      </c>
      <c r="T135" s="118" t="e">
        <f>Table156810[[#This Row],[Total Cost Per Serving (N+O)/I]]*Table156810[[#This Row],[Estimated Servings Annual]]</f>
        <v>#DIV/0!</v>
      </c>
      <c r="U135" s="105">
        <f>(Table156810[[#This Row],[Commercial Bid Price per case for NOI ($)]]-Table156810[[#This Row],[Pass-Thru Value per case ($)]])+Table156810[[#This Row],[Region 2: Fixed Fee Per Case ($)]]</f>
        <v>0</v>
      </c>
      <c r="V135" s="24" t="e">
        <f>(Table156810[[#This Row],[Commercial Bid Price per case for NOI ($)]]+Table156810[[#This Row],[Region 2: Fixed Fee Per Case ($)]])/Table156810[[#This Row],['# of CN Servings per case]]</f>
        <v>#DIV/0!</v>
      </c>
      <c r="W135" s="20" t="e">
        <f>Table156810[[#This Row],[Total Cost Per Serving (N+P)/I]]*Table156810[[#This Row],[Estimated Servings Annual]]</f>
        <v>#DIV/0!</v>
      </c>
    </row>
    <row r="136" spans="1:23" ht="15.75" thickBot="1" x14ac:dyDescent="0.3">
      <c r="A136" s="45" t="s">
        <v>72</v>
      </c>
      <c r="B136" s="63" t="s">
        <v>164</v>
      </c>
      <c r="C136" s="9" t="s">
        <v>13</v>
      </c>
      <c r="D136" s="52"/>
      <c r="E136" s="52"/>
      <c r="F136" s="52"/>
      <c r="G136" s="52"/>
      <c r="H136" s="52"/>
      <c r="I136" s="52"/>
      <c r="J136" s="96">
        <v>1600000</v>
      </c>
      <c r="K136" s="52"/>
      <c r="L136" s="52"/>
      <c r="M136" s="52"/>
      <c r="N136" s="52"/>
      <c r="O136" s="52"/>
      <c r="P136" s="52"/>
      <c r="Q136" s="129"/>
      <c r="R136" s="130">
        <f>(Table156810[[#This Row],[Commercial Bid Price per case for NOI ($)]]-Table156810[[#This Row],[Pass-Thru Value per case ($)]])+Table156810[[#This Row],[Region 1: Fixed Fee Per Case ($)]]</f>
        <v>0</v>
      </c>
      <c r="S136" s="53" t="e">
        <f>(Table156810[[#This Row],[Commercial Bid Price per case for NOI ($)]]+Table156810[[#This Row],[Region 1: Fixed Fee Per Case ($)]])/Table156810[[#This Row],['# of CN Servings per case]]</f>
        <v>#DIV/0!</v>
      </c>
      <c r="T136" s="131" t="e">
        <f>Table156810[[#This Row],[Total Cost Per Serving (N+O)/I]]*Table156810[[#This Row],[Estimated Servings Annual]]</f>
        <v>#DIV/0!</v>
      </c>
      <c r="U136" s="130">
        <f>(Table156810[[#This Row],[Commercial Bid Price per case for NOI ($)]]-Table156810[[#This Row],[Pass-Thru Value per case ($)]])+Table156810[[#This Row],[Region 2: Fixed Fee Per Case ($)]]</f>
        <v>0</v>
      </c>
      <c r="V136" s="54" t="e">
        <f>(Table156810[[#This Row],[Commercial Bid Price per case for NOI ($)]]+Table156810[[#This Row],[Region 2: Fixed Fee Per Case ($)]])/Table156810[[#This Row],['# of CN Servings per case]]</f>
        <v>#DIV/0!</v>
      </c>
      <c r="W136" s="55" t="e">
        <f>Table156810[[#This Row],[Total Cost Per Serving (N+P)/I]]*Table156810[[#This Row],[Estimated Servings Annual]]</f>
        <v>#DIV/0!</v>
      </c>
    </row>
    <row r="137" spans="1:23" x14ac:dyDescent="0.25">
      <c r="A137" s="56" t="s">
        <v>72</v>
      </c>
      <c r="B137" s="42" t="s">
        <v>126</v>
      </c>
      <c r="C137" s="60" t="s">
        <v>111</v>
      </c>
      <c r="D137" s="4"/>
      <c r="E137" s="4"/>
      <c r="F137" s="4"/>
      <c r="G137" s="4"/>
      <c r="H137" s="4"/>
      <c r="I137" s="4"/>
      <c r="J137" s="92">
        <v>750000</v>
      </c>
      <c r="K137" s="4"/>
      <c r="L137" s="4"/>
      <c r="M137" s="4"/>
      <c r="N137" s="4"/>
      <c r="O137" s="4"/>
      <c r="P137" s="4"/>
      <c r="Q137" s="109"/>
      <c r="R137" s="104">
        <f>(Table156810[[#This Row],[Commercial Bid Price per case for NOI ($)]]-Table156810[[#This Row],[Pass-Thru Value per case ($)]])+Table156810[[#This Row],[Region 1: Fixed Fee Per Case ($)]]</f>
        <v>0</v>
      </c>
      <c r="S137" s="15" t="e">
        <f>(Table156810[[#This Row],[Commercial Bid Price per case for NOI ($)]]+Table156810[[#This Row],[Region 1: Fixed Fee Per Case ($)]])/Table156810[[#This Row],['# of CN Servings per case]]</f>
        <v>#DIV/0!</v>
      </c>
      <c r="T137" s="115" t="e">
        <f>Table156810[[#This Row],[Total Cost Per Serving (N+O)/I]]*Table156810[[#This Row],[Estimated Servings Annual]]</f>
        <v>#DIV/0!</v>
      </c>
      <c r="U137" s="104">
        <f>(Table156810[[#This Row],[Commercial Bid Price per case for NOI ($)]]-Table156810[[#This Row],[Pass-Thru Value per case ($)]])+Table156810[[#This Row],[Region 2: Fixed Fee Per Case ($)]]</f>
        <v>0</v>
      </c>
      <c r="V137" s="31" t="e">
        <f>(Table156810[[#This Row],[Commercial Bid Price per case for NOI ($)]]+Table156810[[#This Row],[Region 2: Fixed Fee Per Case ($)]])/Table156810[[#This Row],['# of CN Servings per case]]</f>
        <v>#DIV/0!</v>
      </c>
      <c r="W137" s="17" t="e">
        <f>Table156810[[#This Row],[Total Cost Per Serving (N+P)/I]]*Table156810[[#This Row],[Estimated Servings Annual]]</f>
        <v>#DIV/0!</v>
      </c>
    </row>
    <row r="138" spans="1:23" x14ac:dyDescent="0.25">
      <c r="A138" s="56" t="s">
        <v>72</v>
      </c>
      <c r="B138" s="43" t="s">
        <v>126</v>
      </c>
      <c r="C138" s="59" t="s">
        <v>111</v>
      </c>
      <c r="D138" s="7"/>
      <c r="E138" s="7"/>
      <c r="F138" s="7"/>
      <c r="G138" s="7"/>
      <c r="H138" s="7"/>
      <c r="I138" s="7"/>
      <c r="J138" s="93">
        <v>750000</v>
      </c>
      <c r="K138" s="7"/>
      <c r="L138" s="7"/>
      <c r="M138" s="7"/>
      <c r="N138" s="7"/>
      <c r="O138" s="7"/>
      <c r="P138" s="7"/>
      <c r="Q138" s="110"/>
      <c r="R138" s="105">
        <f>(Table156810[[#This Row],[Commercial Bid Price per case for NOI ($)]]-Table156810[[#This Row],[Pass-Thru Value per case ($)]])+Table156810[[#This Row],[Region 1: Fixed Fee Per Case ($)]]</f>
        <v>0</v>
      </c>
      <c r="S138" s="18" t="e">
        <f>(Table156810[[#This Row],[Commercial Bid Price per case for NOI ($)]]+Table156810[[#This Row],[Region 1: Fixed Fee Per Case ($)]])/Table156810[[#This Row],['# of CN Servings per case]]</f>
        <v>#DIV/0!</v>
      </c>
      <c r="T138" s="118" t="e">
        <f>Table156810[[#This Row],[Total Cost Per Serving (N+O)/I]]*Table156810[[#This Row],[Estimated Servings Annual]]</f>
        <v>#DIV/0!</v>
      </c>
      <c r="U138" s="105">
        <f>(Table156810[[#This Row],[Commercial Bid Price per case for NOI ($)]]-Table156810[[#This Row],[Pass-Thru Value per case ($)]])+Table156810[[#This Row],[Region 2: Fixed Fee Per Case ($)]]</f>
        <v>0</v>
      </c>
      <c r="V138" s="24" t="e">
        <f>(Table156810[[#This Row],[Commercial Bid Price per case for NOI ($)]]+Table156810[[#This Row],[Region 2: Fixed Fee Per Case ($)]])/Table156810[[#This Row],['# of CN Servings per case]]</f>
        <v>#DIV/0!</v>
      </c>
      <c r="W138" s="20" t="e">
        <f>Table156810[[#This Row],[Total Cost Per Serving (N+P)/I]]*Table156810[[#This Row],[Estimated Servings Annual]]</f>
        <v>#DIV/0!</v>
      </c>
    </row>
    <row r="139" spans="1:23" x14ac:dyDescent="0.25">
      <c r="A139" s="56" t="s">
        <v>72</v>
      </c>
      <c r="B139" s="43" t="s">
        <v>126</v>
      </c>
      <c r="C139" s="59" t="s">
        <v>113</v>
      </c>
      <c r="D139" s="7"/>
      <c r="E139" s="7"/>
      <c r="F139" s="7"/>
      <c r="G139" s="7"/>
      <c r="H139" s="7"/>
      <c r="I139" s="7"/>
      <c r="J139" s="93">
        <v>750000</v>
      </c>
      <c r="K139" s="7"/>
      <c r="L139" s="7"/>
      <c r="M139" s="7"/>
      <c r="N139" s="7"/>
      <c r="O139" s="7"/>
      <c r="P139" s="7"/>
      <c r="Q139" s="110"/>
      <c r="R139" s="105">
        <f>(Table156810[[#This Row],[Commercial Bid Price per case for NOI ($)]]-Table156810[[#This Row],[Pass-Thru Value per case ($)]])+Table156810[[#This Row],[Region 1: Fixed Fee Per Case ($)]]</f>
        <v>0</v>
      </c>
      <c r="S139" s="18" t="e">
        <f>(Table156810[[#This Row],[Commercial Bid Price per case for NOI ($)]]+Table156810[[#This Row],[Region 1: Fixed Fee Per Case ($)]])/Table156810[[#This Row],['# of CN Servings per case]]</f>
        <v>#DIV/0!</v>
      </c>
      <c r="T139" s="118" t="e">
        <f>Table156810[[#This Row],[Total Cost Per Serving (N+O)/I]]*Table156810[[#This Row],[Estimated Servings Annual]]</f>
        <v>#DIV/0!</v>
      </c>
      <c r="U139" s="105">
        <f>(Table156810[[#This Row],[Commercial Bid Price per case for NOI ($)]]-Table156810[[#This Row],[Pass-Thru Value per case ($)]])+Table156810[[#This Row],[Region 2: Fixed Fee Per Case ($)]]</f>
        <v>0</v>
      </c>
      <c r="V139" s="24" t="e">
        <f>(Table156810[[#This Row],[Commercial Bid Price per case for NOI ($)]]+Table156810[[#This Row],[Region 2: Fixed Fee Per Case ($)]])/Table156810[[#This Row],['# of CN Servings per case]]</f>
        <v>#DIV/0!</v>
      </c>
      <c r="W139" s="20" t="e">
        <f>Table156810[[#This Row],[Total Cost Per Serving (N+P)/I]]*Table156810[[#This Row],[Estimated Servings Annual]]</f>
        <v>#DIV/0!</v>
      </c>
    </row>
    <row r="140" spans="1:23" x14ac:dyDescent="0.25">
      <c r="A140" s="56" t="s">
        <v>72</v>
      </c>
      <c r="B140" s="43" t="s">
        <v>126</v>
      </c>
      <c r="C140" s="59" t="s">
        <v>113</v>
      </c>
      <c r="D140" s="7"/>
      <c r="E140" s="7"/>
      <c r="F140" s="7"/>
      <c r="G140" s="7"/>
      <c r="H140" s="7"/>
      <c r="I140" s="7"/>
      <c r="J140" s="93">
        <v>750000</v>
      </c>
      <c r="K140" s="7"/>
      <c r="L140" s="7"/>
      <c r="M140" s="7"/>
      <c r="N140" s="7"/>
      <c r="O140" s="7"/>
      <c r="P140" s="7"/>
      <c r="Q140" s="110"/>
      <c r="R140" s="105">
        <f>(Table156810[[#This Row],[Commercial Bid Price per case for NOI ($)]]-Table156810[[#This Row],[Pass-Thru Value per case ($)]])+Table156810[[#This Row],[Region 1: Fixed Fee Per Case ($)]]</f>
        <v>0</v>
      </c>
      <c r="S140" s="18" t="e">
        <f>(Table156810[[#This Row],[Commercial Bid Price per case for NOI ($)]]+Table156810[[#This Row],[Region 1: Fixed Fee Per Case ($)]])/Table156810[[#This Row],['# of CN Servings per case]]</f>
        <v>#DIV/0!</v>
      </c>
      <c r="T140" s="118" t="e">
        <f>Table156810[[#This Row],[Total Cost Per Serving (N+O)/I]]*Table156810[[#This Row],[Estimated Servings Annual]]</f>
        <v>#DIV/0!</v>
      </c>
      <c r="U140" s="105">
        <f>(Table156810[[#This Row],[Commercial Bid Price per case for NOI ($)]]-Table156810[[#This Row],[Pass-Thru Value per case ($)]])+Table156810[[#This Row],[Region 2: Fixed Fee Per Case ($)]]</f>
        <v>0</v>
      </c>
      <c r="V140" s="24" t="e">
        <f>(Table156810[[#This Row],[Commercial Bid Price per case for NOI ($)]]+Table156810[[#This Row],[Region 2: Fixed Fee Per Case ($)]])/Table156810[[#This Row],['# of CN Servings per case]]</f>
        <v>#DIV/0!</v>
      </c>
      <c r="W140" s="20" t="e">
        <f>Table156810[[#This Row],[Total Cost Per Serving (N+P)/I]]*Table156810[[#This Row],[Estimated Servings Annual]]</f>
        <v>#DIV/0!</v>
      </c>
    </row>
    <row r="141" spans="1:23" x14ac:dyDescent="0.25">
      <c r="A141" s="56" t="s">
        <v>72</v>
      </c>
      <c r="B141" s="43" t="s">
        <v>126</v>
      </c>
      <c r="C141" s="59" t="s">
        <v>130</v>
      </c>
      <c r="D141" s="7"/>
      <c r="E141" s="7"/>
      <c r="F141" s="7"/>
      <c r="G141" s="7"/>
      <c r="H141" s="7"/>
      <c r="I141" s="7"/>
      <c r="J141" s="93">
        <v>750000</v>
      </c>
      <c r="K141" s="7"/>
      <c r="L141" s="7"/>
      <c r="M141" s="7"/>
      <c r="N141" s="7"/>
      <c r="O141" s="7"/>
      <c r="P141" s="7"/>
      <c r="Q141" s="110"/>
      <c r="R141" s="105">
        <f>(Table156810[[#This Row],[Commercial Bid Price per case for NOI ($)]]-Table156810[[#This Row],[Pass-Thru Value per case ($)]])+Table156810[[#This Row],[Region 1: Fixed Fee Per Case ($)]]</f>
        <v>0</v>
      </c>
      <c r="S141" s="18" t="e">
        <f>(Table156810[[#This Row],[Commercial Bid Price per case for NOI ($)]]+Table156810[[#This Row],[Region 1: Fixed Fee Per Case ($)]])/Table156810[[#This Row],['# of CN Servings per case]]</f>
        <v>#DIV/0!</v>
      </c>
      <c r="T141" s="118" t="e">
        <f>Table156810[[#This Row],[Total Cost Per Serving (N+O)/I]]*Table156810[[#This Row],[Estimated Servings Annual]]</f>
        <v>#DIV/0!</v>
      </c>
      <c r="U141" s="105">
        <f>(Table156810[[#This Row],[Commercial Bid Price per case for NOI ($)]]-Table156810[[#This Row],[Pass-Thru Value per case ($)]])+Table156810[[#This Row],[Region 2: Fixed Fee Per Case ($)]]</f>
        <v>0</v>
      </c>
      <c r="V141" s="24" t="e">
        <f>(Table156810[[#This Row],[Commercial Bid Price per case for NOI ($)]]+Table156810[[#This Row],[Region 2: Fixed Fee Per Case ($)]])/Table156810[[#This Row],['# of CN Servings per case]]</f>
        <v>#DIV/0!</v>
      </c>
      <c r="W141" s="20" t="e">
        <f>Table156810[[#This Row],[Total Cost Per Serving (N+P)/I]]*Table156810[[#This Row],[Estimated Servings Annual]]</f>
        <v>#DIV/0!</v>
      </c>
    </row>
    <row r="142" spans="1:23" x14ac:dyDescent="0.25">
      <c r="A142" s="56" t="s">
        <v>72</v>
      </c>
      <c r="B142" s="43" t="s">
        <v>126</v>
      </c>
      <c r="C142" s="59" t="s">
        <v>130</v>
      </c>
      <c r="D142" s="7"/>
      <c r="E142" s="7"/>
      <c r="F142" s="7"/>
      <c r="G142" s="7"/>
      <c r="H142" s="7"/>
      <c r="I142" s="7"/>
      <c r="J142" s="93">
        <v>750000</v>
      </c>
      <c r="K142" s="7"/>
      <c r="L142" s="7"/>
      <c r="M142" s="7"/>
      <c r="N142" s="7"/>
      <c r="O142" s="7"/>
      <c r="P142" s="7"/>
      <c r="Q142" s="110"/>
      <c r="R142" s="105">
        <f>(Table156810[[#This Row],[Commercial Bid Price per case for NOI ($)]]-Table156810[[#This Row],[Pass-Thru Value per case ($)]])+Table156810[[#This Row],[Region 1: Fixed Fee Per Case ($)]]</f>
        <v>0</v>
      </c>
      <c r="S142" s="18" t="e">
        <f>(Table156810[[#This Row],[Commercial Bid Price per case for NOI ($)]]+Table156810[[#This Row],[Region 1: Fixed Fee Per Case ($)]])/Table156810[[#This Row],['# of CN Servings per case]]</f>
        <v>#DIV/0!</v>
      </c>
      <c r="T142" s="118" t="e">
        <f>Table156810[[#This Row],[Total Cost Per Serving (N+O)/I]]*Table156810[[#This Row],[Estimated Servings Annual]]</f>
        <v>#DIV/0!</v>
      </c>
      <c r="U142" s="105">
        <f>(Table156810[[#This Row],[Commercial Bid Price per case for NOI ($)]]-Table156810[[#This Row],[Pass-Thru Value per case ($)]])+Table156810[[#This Row],[Region 2: Fixed Fee Per Case ($)]]</f>
        <v>0</v>
      </c>
      <c r="V142" s="24" t="e">
        <f>(Table156810[[#This Row],[Commercial Bid Price per case for NOI ($)]]+Table156810[[#This Row],[Region 2: Fixed Fee Per Case ($)]])/Table156810[[#This Row],['# of CN Servings per case]]</f>
        <v>#DIV/0!</v>
      </c>
      <c r="W142" s="20" t="e">
        <f>Table156810[[#This Row],[Total Cost Per Serving (N+P)/I]]*Table156810[[#This Row],[Estimated Servings Annual]]</f>
        <v>#DIV/0!</v>
      </c>
    </row>
    <row r="143" spans="1:23" x14ac:dyDescent="0.25">
      <c r="A143" s="56" t="s">
        <v>72</v>
      </c>
      <c r="B143" s="43" t="s">
        <v>126</v>
      </c>
      <c r="C143" s="59" t="s">
        <v>109</v>
      </c>
      <c r="D143" s="7"/>
      <c r="E143" s="7"/>
      <c r="F143" s="7"/>
      <c r="G143" s="7"/>
      <c r="H143" s="7"/>
      <c r="I143" s="7"/>
      <c r="J143" s="93">
        <v>750000</v>
      </c>
      <c r="K143" s="7"/>
      <c r="L143" s="7"/>
      <c r="M143" s="7"/>
      <c r="N143" s="7"/>
      <c r="O143" s="7"/>
      <c r="P143" s="7"/>
      <c r="Q143" s="110"/>
      <c r="R143" s="105">
        <f>(Table156810[[#This Row],[Commercial Bid Price per case for NOI ($)]]-Table156810[[#This Row],[Pass-Thru Value per case ($)]])+Table156810[[#This Row],[Region 1: Fixed Fee Per Case ($)]]</f>
        <v>0</v>
      </c>
      <c r="S143" s="18" t="e">
        <f>(Table156810[[#This Row],[Commercial Bid Price per case for NOI ($)]]+Table156810[[#This Row],[Region 1: Fixed Fee Per Case ($)]])/Table156810[[#This Row],['# of CN Servings per case]]</f>
        <v>#DIV/0!</v>
      </c>
      <c r="T143" s="118" t="e">
        <f>Table156810[[#This Row],[Total Cost Per Serving (N+O)/I]]*Table156810[[#This Row],[Estimated Servings Annual]]</f>
        <v>#DIV/0!</v>
      </c>
      <c r="U143" s="105">
        <f>(Table156810[[#This Row],[Commercial Bid Price per case for NOI ($)]]-Table156810[[#This Row],[Pass-Thru Value per case ($)]])+Table156810[[#This Row],[Region 2: Fixed Fee Per Case ($)]]</f>
        <v>0</v>
      </c>
      <c r="V143" s="24" t="e">
        <f>(Table156810[[#This Row],[Commercial Bid Price per case for NOI ($)]]+Table156810[[#This Row],[Region 2: Fixed Fee Per Case ($)]])/Table156810[[#This Row],['# of CN Servings per case]]</f>
        <v>#DIV/0!</v>
      </c>
      <c r="W143" s="20" t="e">
        <f>Table156810[[#This Row],[Total Cost Per Serving (N+P)/I]]*Table156810[[#This Row],[Estimated Servings Annual]]</f>
        <v>#DIV/0!</v>
      </c>
    </row>
    <row r="144" spans="1:23" x14ac:dyDescent="0.25">
      <c r="A144" s="56" t="s">
        <v>72</v>
      </c>
      <c r="B144" s="43" t="s">
        <v>126</v>
      </c>
      <c r="C144" s="59" t="s">
        <v>109</v>
      </c>
      <c r="D144" s="7"/>
      <c r="E144" s="7"/>
      <c r="F144" s="7"/>
      <c r="G144" s="7"/>
      <c r="H144" s="7"/>
      <c r="I144" s="7"/>
      <c r="J144" s="93">
        <v>750000</v>
      </c>
      <c r="K144" s="7"/>
      <c r="L144" s="7"/>
      <c r="M144" s="7"/>
      <c r="N144" s="7"/>
      <c r="O144" s="7"/>
      <c r="P144" s="7"/>
      <c r="Q144" s="110"/>
      <c r="R144" s="105">
        <f>(Table156810[[#This Row],[Commercial Bid Price per case for NOI ($)]]-Table156810[[#This Row],[Pass-Thru Value per case ($)]])+Table156810[[#This Row],[Region 1: Fixed Fee Per Case ($)]]</f>
        <v>0</v>
      </c>
      <c r="S144" s="18" t="e">
        <f>(Table156810[[#This Row],[Commercial Bid Price per case for NOI ($)]]+Table156810[[#This Row],[Region 1: Fixed Fee Per Case ($)]])/Table156810[[#This Row],['# of CN Servings per case]]</f>
        <v>#DIV/0!</v>
      </c>
      <c r="T144" s="118" t="e">
        <f>Table156810[[#This Row],[Total Cost Per Serving (N+O)/I]]*Table156810[[#This Row],[Estimated Servings Annual]]</f>
        <v>#DIV/0!</v>
      </c>
      <c r="U144" s="105">
        <f>(Table156810[[#This Row],[Commercial Bid Price per case for NOI ($)]]-Table156810[[#This Row],[Pass-Thru Value per case ($)]])+Table156810[[#This Row],[Region 2: Fixed Fee Per Case ($)]]</f>
        <v>0</v>
      </c>
      <c r="V144" s="24" t="e">
        <f>(Table156810[[#This Row],[Commercial Bid Price per case for NOI ($)]]+Table156810[[#This Row],[Region 2: Fixed Fee Per Case ($)]])/Table156810[[#This Row],['# of CN Servings per case]]</f>
        <v>#DIV/0!</v>
      </c>
      <c r="W144" s="20" t="e">
        <f>Table156810[[#This Row],[Total Cost Per Serving (N+P)/I]]*Table156810[[#This Row],[Estimated Servings Annual]]</f>
        <v>#DIV/0!</v>
      </c>
    </row>
    <row r="145" spans="1:23" x14ac:dyDescent="0.25">
      <c r="A145" s="56" t="s">
        <v>72</v>
      </c>
      <c r="B145" s="43" t="s">
        <v>126</v>
      </c>
      <c r="C145" s="7" t="s">
        <v>13</v>
      </c>
      <c r="D145" s="7"/>
      <c r="E145" s="7"/>
      <c r="F145" s="7"/>
      <c r="G145" s="7"/>
      <c r="H145" s="7"/>
      <c r="I145" s="7"/>
      <c r="J145" s="93">
        <v>750000</v>
      </c>
      <c r="K145" s="7"/>
      <c r="L145" s="7"/>
      <c r="M145" s="7"/>
      <c r="N145" s="7"/>
      <c r="O145" s="7"/>
      <c r="P145" s="7"/>
      <c r="Q145" s="110"/>
      <c r="R145" s="105">
        <f>(Table156810[[#This Row],[Commercial Bid Price per case for NOI ($)]]-Table156810[[#This Row],[Pass-Thru Value per case ($)]])+Table156810[[#This Row],[Region 1: Fixed Fee Per Case ($)]]</f>
        <v>0</v>
      </c>
      <c r="S145" s="18" t="e">
        <f>(Table156810[[#This Row],[Commercial Bid Price per case for NOI ($)]]+Table156810[[#This Row],[Region 1: Fixed Fee Per Case ($)]])/Table156810[[#This Row],['# of CN Servings per case]]</f>
        <v>#DIV/0!</v>
      </c>
      <c r="T145" s="118" t="e">
        <f>Table156810[[#This Row],[Total Cost Per Serving (N+O)/I]]*Table156810[[#This Row],[Estimated Servings Annual]]</f>
        <v>#DIV/0!</v>
      </c>
      <c r="U145" s="105">
        <f>(Table156810[[#This Row],[Commercial Bid Price per case for NOI ($)]]-Table156810[[#This Row],[Pass-Thru Value per case ($)]])+Table156810[[#This Row],[Region 2: Fixed Fee Per Case ($)]]</f>
        <v>0</v>
      </c>
      <c r="V145" s="24" t="e">
        <f>(Table156810[[#This Row],[Commercial Bid Price per case for NOI ($)]]+Table156810[[#This Row],[Region 2: Fixed Fee Per Case ($)]])/Table156810[[#This Row],['# of CN Servings per case]]</f>
        <v>#DIV/0!</v>
      </c>
      <c r="W145" s="20" t="e">
        <f>Table156810[[#This Row],[Total Cost Per Serving (N+P)/I]]*Table156810[[#This Row],[Estimated Servings Annual]]</f>
        <v>#DIV/0!</v>
      </c>
    </row>
    <row r="146" spans="1:23" ht="15.75" thickBot="1" x14ac:dyDescent="0.3">
      <c r="A146" s="56" t="s">
        <v>72</v>
      </c>
      <c r="B146" s="44" t="s">
        <v>126</v>
      </c>
      <c r="C146" s="9" t="s">
        <v>13</v>
      </c>
      <c r="D146" s="9"/>
      <c r="E146" s="9"/>
      <c r="F146" s="9"/>
      <c r="G146" s="9"/>
      <c r="H146" s="9"/>
      <c r="I146" s="9"/>
      <c r="J146" s="94">
        <v>750000</v>
      </c>
      <c r="K146" s="9"/>
      <c r="L146" s="9"/>
      <c r="M146" s="9"/>
      <c r="N146" s="9"/>
      <c r="O146" s="9"/>
      <c r="P146" s="9"/>
      <c r="Q146" s="111"/>
      <c r="R146" s="106">
        <f>(Table156810[[#This Row],[Commercial Bid Price per case for NOI ($)]]-Table156810[[#This Row],[Pass-Thru Value per case ($)]])+Table156810[[#This Row],[Region 1: Fixed Fee Per Case ($)]]</f>
        <v>0</v>
      </c>
      <c r="S146" s="21" t="e">
        <f>(Table156810[[#This Row],[Commercial Bid Price per case for NOI ($)]]+Table156810[[#This Row],[Region 1: Fixed Fee Per Case ($)]])/Table156810[[#This Row],['# of CN Servings per case]]</f>
        <v>#DIV/0!</v>
      </c>
      <c r="T146" s="120" t="e">
        <f>Table156810[[#This Row],[Total Cost Per Serving (N+O)/I]]*Table156810[[#This Row],[Estimated Servings Annual]]</f>
        <v>#DIV/0!</v>
      </c>
      <c r="U146" s="106">
        <f>(Table156810[[#This Row],[Commercial Bid Price per case for NOI ($)]]-Table156810[[#This Row],[Pass-Thru Value per case ($)]])+Table156810[[#This Row],[Region 2: Fixed Fee Per Case ($)]]</f>
        <v>0</v>
      </c>
      <c r="V146" s="25" t="e">
        <f>(Table156810[[#This Row],[Commercial Bid Price per case for NOI ($)]]+Table156810[[#This Row],[Region 2: Fixed Fee Per Case ($)]])/Table156810[[#This Row],['# of CN Servings per case]]</f>
        <v>#DIV/0!</v>
      </c>
      <c r="W146" s="23" t="e">
        <f>Table156810[[#This Row],[Total Cost Per Serving (N+P)/I]]*Table156810[[#This Row],[Estimated Servings Annual]]</f>
        <v>#DIV/0!</v>
      </c>
    </row>
    <row r="147" spans="1:23" ht="30" x14ac:dyDescent="0.25">
      <c r="A147" s="56" t="s">
        <v>72</v>
      </c>
      <c r="B147" s="42" t="s">
        <v>127</v>
      </c>
      <c r="C147" s="60" t="s">
        <v>130</v>
      </c>
      <c r="D147" s="4"/>
      <c r="E147" s="4"/>
      <c r="F147" s="4"/>
      <c r="G147" s="4"/>
      <c r="H147" s="4"/>
      <c r="I147" s="4"/>
      <c r="J147" s="92">
        <v>100000</v>
      </c>
      <c r="K147" s="4"/>
      <c r="L147" s="4"/>
      <c r="M147" s="4"/>
      <c r="N147" s="4"/>
      <c r="O147" s="4"/>
      <c r="P147" s="4"/>
      <c r="Q147" s="109"/>
      <c r="R147" s="104">
        <f>(Table156810[[#This Row],[Commercial Bid Price per case for NOI ($)]]-Table156810[[#This Row],[Pass-Thru Value per case ($)]])+Table156810[[#This Row],[Region 1: Fixed Fee Per Case ($)]]</f>
        <v>0</v>
      </c>
      <c r="S147" s="15" t="e">
        <f>(Table156810[[#This Row],[Commercial Bid Price per case for NOI ($)]]+Table156810[[#This Row],[Region 1: Fixed Fee Per Case ($)]])/Table156810[[#This Row],['# of CN Servings per case]]</f>
        <v>#DIV/0!</v>
      </c>
      <c r="T147" s="115" t="e">
        <f>Table156810[[#This Row],[Total Cost Per Serving (N+O)/I]]*Table156810[[#This Row],[Estimated Servings Annual]]</f>
        <v>#DIV/0!</v>
      </c>
      <c r="U147" s="104">
        <f>(Table156810[[#This Row],[Commercial Bid Price per case for NOI ($)]]-Table156810[[#This Row],[Pass-Thru Value per case ($)]])+Table156810[[#This Row],[Region 2: Fixed Fee Per Case ($)]]</f>
        <v>0</v>
      </c>
      <c r="V147" s="31" t="e">
        <f>(Table156810[[#This Row],[Commercial Bid Price per case for NOI ($)]]+Table156810[[#This Row],[Region 2: Fixed Fee Per Case ($)]])/Table156810[[#This Row],['# of CN Servings per case]]</f>
        <v>#DIV/0!</v>
      </c>
      <c r="W147" s="17" t="e">
        <f>Table156810[[#This Row],[Total Cost Per Serving (N+P)/I]]*Table156810[[#This Row],[Estimated Servings Annual]]</f>
        <v>#DIV/0!</v>
      </c>
    </row>
    <row r="148" spans="1:23" ht="30" x14ac:dyDescent="0.25">
      <c r="A148" s="56" t="s">
        <v>72</v>
      </c>
      <c r="B148" s="43" t="s">
        <v>127</v>
      </c>
      <c r="C148" s="59" t="s">
        <v>130</v>
      </c>
      <c r="D148" s="7"/>
      <c r="E148" s="7"/>
      <c r="F148" s="7"/>
      <c r="G148" s="7"/>
      <c r="H148" s="7"/>
      <c r="I148" s="7"/>
      <c r="J148" s="93">
        <v>100000</v>
      </c>
      <c r="K148" s="7"/>
      <c r="L148" s="7"/>
      <c r="M148" s="7"/>
      <c r="N148" s="7"/>
      <c r="O148" s="7"/>
      <c r="P148" s="7"/>
      <c r="Q148" s="110"/>
      <c r="R148" s="105">
        <f>(Table156810[[#This Row],[Commercial Bid Price per case for NOI ($)]]-Table156810[[#This Row],[Pass-Thru Value per case ($)]])+Table156810[[#This Row],[Region 1: Fixed Fee Per Case ($)]]</f>
        <v>0</v>
      </c>
      <c r="S148" s="18" t="e">
        <f>(Table156810[[#This Row],[Commercial Bid Price per case for NOI ($)]]+Table156810[[#This Row],[Region 1: Fixed Fee Per Case ($)]])/Table156810[[#This Row],['# of CN Servings per case]]</f>
        <v>#DIV/0!</v>
      </c>
      <c r="T148" s="118" t="e">
        <f>Table156810[[#This Row],[Total Cost Per Serving (N+O)/I]]*Table156810[[#This Row],[Estimated Servings Annual]]</f>
        <v>#DIV/0!</v>
      </c>
      <c r="U148" s="105">
        <f>(Table156810[[#This Row],[Commercial Bid Price per case for NOI ($)]]-Table156810[[#This Row],[Pass-Thru Value per case ($)]])+Table156810[[#This Row],[Region 2: Fixed Fee Per Case ($)]]</f>
        <v>0</v>
      </c>
      <c r="V148" s="24" t="e">
        <f>(Table156810[[#This Row],[Commercial Bid Price per case for NOI ($)]]+Table156810[[#This Row],[Region 2: Fixed Fee Per Case ($)]])/Table156810[[#This Row],['# of CN Servings per case]]</f>
        <v>#DIV/0!</v>
      </c>
      <c r="W148" s="20" t="e">
        <f>Table156810[[#This Row],[Total Cost Per Serving (N+P)/I]]*Table156810[[#This Row],[Estimated Servings Annual]]</f>
        <v>#DIV/0!</v>
      </c>
    </row>
    <row r="149" spans="1:23" ht="30" x14ac:dyDescent="0.25">
      <c r="A149" s="56" t="s">
        <v>72</v>
      </c>
      <c r="B149" s="43" t="s">
        <v>127</v>
      </c>
      <c r="C149" s="7" t="s">
        <v>13</v>
      </c>
      <c r="D149" s="7"/>
      <c r="E149" s="7"/>
      <c r="F149" s="7"/>
      <c r="G149" s="7"/>
      <c r="H149" s="7"/>
      <c r="I149" s="7"/>
      <c r="J149" s="93">
        <v>100000</v>
      </c>
      <c r="K149" s="7"/>
      <c r="L149" s="7"/>
      <c r="M149" s="7"/>
      <c r="N149" s="7"/>
      <c r="O149" s="7"/>
      <c r="P149" s="7"/>
      <c r="Q149" s="110"/>
      <c r="R149" s="105">
        <f>(Table156810[[#This Row],[Commercial Bid Price per case for NOI ($)]]-Table156810[[#This Row],[Pass-Thru Value per case ($)]])+Table156810[[#This Row],[Region 1: Fixed Fee Per Case ($)]]</f>
        <v>0</v>
      </c>
      <c r="S149" s="18" t="e">
        <f>(Table156810[[#This Row],[Commercial Bid Price per case for NOI ($)]]+Table156810[[#This Row],[Region 1: Fixed Fee Per Case ($)]])/Table156810[[#This Row],['# of CN Servings per case]]</f>
        <v>#DIV/0!</v>
      </c>
      <c r="T149" s="118" t="e">
        <f>Table156810[[#This Row],[Total Cost Per Serving (N+O)/I]]*Table156810[[#This Row],[Estimated Servings Annual]]</f>
        <v>#DIV/0!</v>
      </c>
      <c r="U149" s="105">
        <f>(Table156810[[#This Row],[Commercial Bid Price per case for NOI ($)]]-Table156810[[#This Row],[Pass-Thru Value per case ($)]])+Table156810[[#This Row],[Region 2: Fixed Fee Per Case ($)]]</f>
        <v>0</v>
      </c>
      <c r="V149" s="24" t="e">
        <f>(Table156810[[#This Row],[Commercial Bid Price per case for NOI ($)]]+Table156810[[#This Row],[Region 2: Fixed Fee Per Case ($)]])/Table156810[[#This Row],['# of CN Servings per case]]</f>
        <v>#DIV/0!</v>
      </c>
      <c r="W149" s="20" t="e">
        <f>Table156810[[#This Row],[Total Cost Per Serving (N+P)/I]]*Table156810[[#This Row],[Estimated Servings Annual]]</f>
        <v>#DIV/0!</v>
      </c>
    </row>
    <row r="150" spans="1:23" ht="30" x14ac:dyDescent="0.25">
      <c r="A150" s="56" t="s">
        <v>72</v>
      </c>
      <c r="B150" s="43" t="s">
        <v>127</v>
      </c>
      <c r="C150" s="7" t="s">
        <v>13</v>
      </c>
      <c r="D150" s="7"/>
      <c r="E150" s="7"/>
      <c r="F150" s="7"/>
      <c r="G150" s="7"/>
      <c r="H150" s="7"/>
      <c r="I150" s="7"/>
      <c r="J150" s="93">
        <v>100000</v>
      </c>
      <c r="K150" s="7"/>
      <c r="L150" s="7"/>
      <c r="M150" s="7"/>
      <c r="N150" s="7"/>
      <c r="O150" s="7"/>
      <c r="P150" s="7"/>
      <c r="Q150" s="110"/>
      <c r="R150" s="105">
        <f>(Table156810[[#This Row],[Commercial Bid Price per case for NOI ($)]]-Table156810[[#This Row],[Pass-Thru Value per case ($)]])+Table156810[[#This Row],[Region 1: Fixed Fee Per Case ($)]]</f>
        <v>0</v>
      </c>
      <c r="S150" s="18" t="e">
        <f>(Table156810[[#This Row],[Commercial Bid Price per case for NOI ($)]]+Table156810[[#This Row],[Region 1: Fixed Fee Per Case ($)]])/Table156810[[#This Row],['# of CN Servings per case]]</f>
        <v>#DIV/0!</v>
      </c>
      <c r="T150" s="118" t="e">
        <f>Table156810[[#This Row],[Total Cost Per Serving (N+O)/I]]*Table156810[[#This Row],[Estimated Servings Annual]]</f>
        <v>#DIV/0!</v>
      </c>
      <c r="U150" s="105">
        <f>(Table156810[[#This Row],[Commercial Bid Price per case for NOI ($)]]-Table156810[[#This Row],[Pass-Thru Value per case ($)]])+Table156810[[#This Row],[Region 2: Fixed Fee Per Case ($)]]</f>
        <v>0</v>
      </c>
      <c r="V150" s="24" t="e">
        <f>(Table156810[[#This Row],[Commercial Bid Price per case for NOI ($)]]+Table156810[[#This Row],[Region 2: Fixed Fee Per Case ($)]])/Table156810[[#This Row],['# of CN Servings per case]]</f>
        <v>#DIV/0!</v>
      </c>
      <c r="W150" s="20" t="e">
        <f>Table156810[[#This Row],[Total Cost Per Serving (N+P)/I]]*Table156810[[#This Row],[Estimated Servings Annual]]</f>
        <v>#DIV/0!</v>
      </c>
    </row>
    <row r="151" spans="1:23" ht="30" x14ac:dyDescent="0.25">
      <c r="A151" s="56" t="s">
        <v>72</v>
      </c>
      <c r="B151" s="43" t="s">
        <v>127</v>
      </c>
      <c r="C151" s="7" t="s">
        <v>13</v>
      </c>
      <c r="D151" s="7"/>
      <c r="E151" s="7"/>
      <c r="F151" s="7"/>
      <c r="G151" s="7"/>
      <c r="H151" s="7"/>
      <c r="I151" s="7"/>
      <c r="J151" s="93">
        <v>100000</v>
      </c>
      <c r="K151" s="7"/>
      <c r="L151" s="7"/>
      <c r="M151" s="7"/>
      <c r="N151" s="7"/>
      <c r="O151" s="7"/>
      <c r="P151" s="7"/>
      <c r="Q151" s="110"/>
      <c r="R151" s="105">
        <f>(Table156810[[#This Row],[Commercial Bid Price per case for NOI ($)]]-Table156810[[#This Row],[Pass-Thru Value per case ($)]])+Table156810[[#This Row],[Region 1: Fixed Fee Per Case ($)]]</f>
        <v>0</v>
      </c>
      <c r="S151" s="18" t="e">
        <f>(Table156810[[#This Row],[Commercial Bid Price per case for NOI ($)]]+Table156810[[#This Row],[Region 1: Fixed Fee Per Case ($)]])/Table156810[[#This Row],['# of CN Servings per case]]</f>
        <v>#DIV/0!</v>
      </c>
      <c r="T151" s="118" t="e">
        <f>Table156810[[#This Row],[Total Cost Per Serving (N+O)/I]]*Table156810[[#This Row],[Estimated Servings Annual]]</f>
        <v>#DIV/0!</v>
      </c>
      <c r="U151" s="105">
        <f>(Table156810[[#This Row],[Commercial Bid Price per case for NOI ($)]]-Table156810[[#This Row],[Pass-Thru Value per case ($)]])+Table156810[[#This Row],[Region 2: Fixed Fee Per Case ($)]]</f>
        <v>0</v>
      </c>
      <c r="V151" s="24" t="e">
        <f>(Table156810[[#This Row],[Commercial Bid Price per case for NOI ($)]]+Table156810[[#This Row],[Region 2: Fixed Fee Per Case ($)]])/Table156810[[#This Row],['# of CN Servings per case]]</f>
        <v>#DIV/0!</v>
      </c>
      <c r="W151" s="20" t="e">
        <f>Table156810[[#This Row],[Total Cost Per Serving (N+P)/I]]*Table156810[[#This Row],[Estimated Servings Annual]]</f>
        <v>#DIV/0!</v>
      </c>
    </row>
    <row r="152" spans="1:23" ht="30.75" thickBot="1" x14ac:dyDescent="0.3">
      <c r="A152" s="56" t="s">
        <v>72</v>
      </c>
      <c r="B152" s="44" t="s">
        <v>127</v>
      </c>
      <c r="C152" s="9" t="s">
        <v>13</v>
      </c>
      <c r="D152" s="9"/>
      <c r="E152" s="9"/>
      <c r="F152" s="9"/>
      <c r="G152" s="9"/>
      <c r="H152" s="9"/>
      <c r="I152" s="9"/>
      <c r="J152" s="94">
        <v>100000</v>
      </c>
      <c r="K152" s="9"/>
      <c r="L152" s="9"/>
      <c r="M152" s="9"/>
      <c r="N152" s="9"/>
      <c r="O152" s="9"/>
      <c r="P152" s="9"/>
      <c r="Q152" s="111"/>
      <c r="R152" s="106">
        <f>(Table156810[[#This Row],[Commercial Bid Price per case for NOI ($)]]-Table156810[[#This Row],[Pass-Thru Value per case ($)]])+Table156810[[#This Row],[Region 1: Fixed Fee Per Case ($)]]</f>
        <v>0</v>
      </c>
      <c r="S152" s="21" t="e">
        <f>(Table156810[[#This Row],[Commercial Bid Price per case for NOI ($)]]+Table156810[[#This Row],[Region 1: Fixed Fee Per Case ($)]])/Table156810[[#This Row],['# of CN Servings per case]]</f>
        <v>#DIV/0!</v>
      </c>
      <c r="T152" s="120" t="e">
        <f>Table156810[[#This Row],[Total Cost Per Serving (N+O)/I]]*Table156810[[#This Row],[Estimated Servings Annual]]</f>
        <v>#DIV/0!</v>
      </c>
      <c r="U152" s="106">
        <f>(Table156810[[#This Row],[Commercial Bid Price per case for NOI ($)]]-Table156810[[#This Row],[Pass-Thru Value per case ($)]])+Table156810[[#This Row],[Region 2: Fixed Fee Per Case ($)]]</f>
        <v>0</v>
      </c>
      <c r="V152" s="25" t="e">
        <f>(Table156810[[#This Row],[Commercial Bid Price per case for NOI ($)]]+Table156810[[#This Row],[Region 2: Fixed Fee Per Case ($)]])/Table156810[[#This Row],['# of CN Servings per case]]</f>
        <v>#DIV/0!</v>
      </c>
      <c r="W152" s="23" t="e">
        <f>Table156810[[#This Row],[Total Cost Per Serving (N+P)/I]]*Table156810[[#This Row],[Estimated Servings Annual]]</f>
        <v>#DIV/0!</v>
      </c>
    </row>
    <row r="153" spans="1:23" x14ac:dyDescent="0.25">
      <c r="A153" s="45" t="s">
        <v>72</v>
      </c>
      <c r="B153" s="62" t="s">
        <v>128</v>
      </c>
      <c r="C153" s="28" t="s">
        <v>84</v>
      </c>
      <c r="D153" s="29"/>
      <c r="E153" s="29"/>
      <c r="F153" s="29"/>
      <c r="G153" s="29"/>
      <c r="H153" s="29"/>
      <c r="I153" s="29"/>
      <c r="J153" s="95">
        <v>200000</v>
      </c>
      <c r="K153" s="29"/>
      <c r="L153" s="29"/>
      <c r="M153" s="29"/>
      <c r="N153" s="29"/>
      <c r="O153" s="29"/>
      <c r="P153" s="29"/>
      <c r="Q153" s="112"/>
      <c r="R153" s="114">
        <f>(Table156810[[#This Row],[Commercial Bid Price per case for NOI ($)]]-Table156810[[#This Row],[Pass-Thru Value per case ($)]])+Table156810[[#This Row],[Region 1: Fixed Fee Per Case ($)]]</f>
        <v>0</v>
      </c>
      <c r="S153" s="30" t="e">
        <f>(Table156810[[#This Row],[Commercial Bid Price per case for NOI ($)]]+Table156810[[#This Row],[Region 1: Fixed Fee Per Case ($)]])/Table156810[[#This Row],['# of CN Servings per case]]</f>
        <v>#DIV/0!</v>
      </c>
      <c r="T153" s="116" t="e">
        <f>Table156810[[#This Row],[Total Cost Per Serving (N+O)/I]]*Table156810[[#This Row],[Estimated Servings Annual]]</f>
        <v>#DIV/0!</v>
      </c>
      <c r="U153" s="114">
        <f>(Table156810[[#This Row],[Commercial Bid Price per case for NOI ($)]]-Table156810[[#This Row],[Pass-Thru Value per case ($)]])+Table156810[[#This Row],[Region 2: Fixed Fee Per Case ($)]]</f>
        <v>0</v>
      </c>
      <c r="V153" s="57" t="e">
        <f>(Table156810[[#This Row],[Commercial Bid Price per case for NOI ($)]]+Table156810[[#This Row],[Region 2: Fixed Fee Per Case ($)]])/Table156810[[#This Row],['# of CN Servings per case]]</f>
        <v>#DIV/0!</v>
      </c>
      <c r="W153" s="58" t="e">
        <f>Table156810[[#This Row],[Total Cost Per Serving (N+P)/I]]*Table156810[[#This Row],[Estimated Servings Annual]]</f>
        <v>#DIV/0!</v>
      </c>
    </row>
    <row r="154" spans="1:23" x14ac:dyDescent="0.25">
      <c r="A154" s="45" t="s">
        <v>72</v>
      </c>
      <c r="B154" s="43" t="s">
        <v>128</v>
      </c>
      <c r="C154" s="6" t="s">
        <v>84</v>
      </c>
      <c r="D154" s="7"/>
      <c r="E154" s="7"/>
      <c r="F154" s="7"/>
      <c r="G154" s="7"/>
      <c r="H154" s="7"/>
      <c r="I154" s="7"/>
      <c r="J154" s="95">
        <v>200000</v>
      </c>
      <c r="K154" s="7"/>
      <c r="L154" s="7"/>
      <c r="M154" s="7"/>
      <c r="N154" s="7"/>
      <c r="O154" s="7"/>
      <c r="P154" s="7"/>
      <c r="Q154" s="110"/>
      <c r="R154" s="105">
        <f>(Table156810[[#This Row],[Commercial Bid Price per case for NOI ($)]]-Table156810[[#This Row],[Pass-Thru Value per case ($)]])+Table156810[[#This Row],[Region 1: Fixed Fee Per Case ($)]]</f>
        <v>0</v>
      </c>
      <c r="S154" s="18" t="e">
        <f>(Table156810[[#This Row],[Commercial Bid Price per case for NOI ($)]]+Table156810[[#This Row],[Region 1: Fixed Fee Per Case ($)]])/Table156810[[#This Row],['# of CN Servings per case]]</f>
        <v>#DIV/0!</v>
      </c>
      <c r="T154" s="118" t="e">
        <f>Table156810[[#This Row],[Total Cost Per Serving (N+O)/I]]*Table156810[[#This Row],[Estimated Servings Annual]]</f>
        <v>#DIV/0!</v>
      </c>
      <c r="U154" s="105">
        <f>(Table156810[[#This Row],[Commercial Bid Price per case for NOI ($)]]-Table156810[[#This Row],[Pass-Thru Value per case ($)]])+Table156810[[#This Row],[Region 2: Fixed Fee Per Case ($)]]</f>
        <v>0</v>
      </c>
      <c r="V154" s="24" t="e">
        <f>(Table156810[[#This Row],[Commercial Bid Price per case for NOI ($)]]+Table156810[[#This Row],[Region 2: Fixed Fee Per Case ($)]])/Table156810[[#This Row],['# of CN Servings per case]]</f>
        <v>#DIV/0!</v>
      </c>
      <c r="W154" s="20" t="e">
        <f>Table156810[[#This Row],[Total Cost Per Serving (N+P)/I]]*Table156810[[#This Row],[Estimated Servings Annual]]</f>
        <v>#DIV/0!</v>
      </c>
    </row>
    <row r="155" spans="1:23" x14ac:dyDescent="0.25">
      <c r="A155" s="45" t="s">
        <v>72</v>
      </c>
      <c r="B155" s="43" t="s">
        <v>128</v>
      </c>
      <c r="C155" s="7" t="s">
        <v>13</v>
      </c>
      <c r="D155" s="7"/>
      <c r="E155" s="7"/>
      <c r="F155" s="7"/>
      <c r="G155" s="7"/>
      <c r="H155" s="7"/>
      <c r="I155" s="7"/>
      <c r="J155" s="95">
        <v>200000</v>
      </c>
      <c r="K155" s="7"/>
      <c r="L155" s="7"/>
      <c r="M155" s="7"/>
      <c r="N155" s="7"/>
      <c r="O155" s="7"/>
      <c r="P155" s="7"/>
      <c r="Q155" s="110"/>
      <c r="R155" s="105">
        <f>(Table156810[[#This Row],[Commercial Bid Price per case for NOI ($)]]-Table156810[[#This Row],[Pass-Thru Value per case ($)]])+Table156810[[#This Row],[Region 1: Fixed Fee Per Case ($)]]</f>
        <v>0</v>
      </c>
      <c r="S155" s="18" t="e">
        <f>(Table156810[[#This Row],[Commercial Bid Price per case for NOI ($)]]+Table156810[[#This Row],[Region 1: Fixed Fee Per Case ($)]])/Table156810[[#This Row],['# of CN Servings per case]]</f>
        <v>#DIV/0!</v>
      </c>
      <c r="T155" s="118" t="e">
        <f>Table156810[[#This Row],[Total Cost Per Serving (N+O)/I]]*Table156810[[#This Row],[Estimated Servings Annual]]</f>
        <v>#DIV/0!</v>
      </c>
      <c r="U155" s="105">
        <f>(Table156810[[#This Row],[Commercial Bid Price per case for NOI ($)]]-Table156810[[#This Row],[Pass-Thru Value per case ($)]])+Table156810[[#This Row],[Region 2: Fixed Fee Per Case ($)]]</f>
        <v>0</v>
      </c>
      <c r="V155" s="24" t="e">
        <f>(Table156810[[#This Row],[Commercial Bid Price per case for NOI ($)]]+Table156810[[#This Row],[Region 2: Fixed Fee Per Case ($)]])/Table156810[[#This Row],['# of CN Servings per case]]</f>
        <v>#DIV/0!</v>
      </c>
      <c r="W155" s="20" t="e">
        <f>Table156810[[#This Row],[Total Cost Per Serving (N+P)/I]]*Table156810[[#This Row],[Estimated Servings Annual]]</f>
        <v>#DIV/0!</v>
      </c>
    </row>
    <row r="156" spans="1:23" x14ac:dyDescent="0.25">
      <c r="A156" s="45" t="s">
        <v>72</v>
      </c>
      <c r="B156" s="43" t="s">
        <v>128</v>
      </c>
      <c r="C156" s="7" t="s">
        <v>13</v>
      </c>
      <c r="D156" s="7"/>
      <c r="E156" s="7"/>
      <c r="F156" s="7"/>
      <c r="G156" s="7"/>
      <c r="H156" s="7"/>
      <c r="I156" s="7"/>
      <c r="J156" s="95">
        <v>200000</v>
      </c>
      <c r="K156" s="7"/>
      <c r="L156" s="7"/>
      <c r="M156" s="7"/>
      <c r="N156" s="7"/>
      <c r="O156" s="7"/>
      <c r="P156" s="7"/>
      <c r="Q156" s="110"/>
      <c r="R156" s="105">
        <f>(Table156810[[#This Row],[Commercial Bid Price per case for NOI ($)]]-Table156810[[#This Row],[Pass-Thru Value per case ($)]])+Table156810[[#This Row],[Region 1: Fixed Fee Per Case ($)]]</f>
        <v>0</v>
      </c>
      <c r="S156" s="18" t="e">
        <f>(Table156810[[#This Row],[Commercial Bid Price per case for NOI ($)]]+Table156810[[#This Row],[Region 1: Fixed Fee Per Case ($)]])/Table156810[[#This Row],['# of CN Servings per case]]</f>
        <v>#DIV/0!</v>
      </c>
      <c r="T156" s="118" t="e">
        <f>Table156810[[#This Row],[Total Cost Per Serving (N+O)/I]]*Table156810[[#This Row],[Estimated Servings Annual]]</f>
        <v>#DIV/0!</v>
      </c>
      <c r="U156" s="105">
        <f>(Table156810[[#This Row],[Commercial Bid Price per case for NOI ($)]]-Table156810[[#This Row],[Pass-Thru Value per case ($)]])+Table156810[[#This Row],[Region 2: Fixed Fee Per Case ($)]]</f>
        <v>0</v>
      </c>
      <c r="V156" s="24" t="e">
        <f>(Table156810[[#This Row],[Commercial Bid Price per case for NOI ($)]]+Table156810[[#This Row],[Region 2: Fixed Fee Per Case ($)]])/Table156810[[#This Row],['# of CN Servings per case]]</f>
        <v>#DIV/0!</v>
      </c>
      <c r="W156" s="20" t="e">
        <f>Table156810[[#This Row],[Total Cost Per Serving (N+P)/I]]*Table156810[[#This Row],[Estimated Servings Annual]]</f>
        <v>#DIV/0!</v>
      </c>
    </row>
    <row r="157" spans="1:23" x14ac:dyDescent="0.25">
      <c r="A157" s="45" t="s">
        <v>72</v>
      </c>
      <c r="B157" s="43" t="s">
        <v>128</v>
      </c>
      <c r="C157" s="7" t="s">
        <v>13</v>
      </c>
      <c r="D157" s="7"/>
      <c r="E157" s="7"/>
      <c r="F157" s="7"/>
      <c r="G157" s="7"/>
      <c r="H157" s="7"/>
      <c r="I157" s="7"/>
      <c r="J157" s="95">
        <v>200000</v>
      </c>
      <c r="K157" s="7"/>
      <c r="L157" s="7"/>
      <c r="M157" s="7"/>
      <c r="N157" s="7"/>
      <c r="O157" s="7"/>
      <c r="P157" s="7"/>
      <c r="Q157" s="110"/>
      <c r="R157" s="105">
        <f>(Table156810[[#This Row],[Commercial Bid Price per case for NOI ($)]]-Table156810[[#This Row],[Pass-Thru Value per case ($)]])+Table156810[[#This Row],[Region 1: Fixed Fee Per Case ($)]]</f>
        <v>0</v>
      </c>
      <c r="S157" s="18" t="e">
        <f>(Table156810[[#This Row],[Commercial Bid Price per case for NOI ($)]]+Table156810[[#This Row],[Region 1: Fixed Fee Per Case ($)]])/Table156810[[#This Row],['# of CN Servings per case]]</f>
        <v>#DIV/0!</v>
      </c>
      <c r="T157" s="118" t="e">
        <f>Table156810[[#This Row],[Total Cost Per Serving (N+O)/I]]*Table156810[[#This Row],[Estimated Servings Annual]]</f>
        <v>#DIV/0!</v>
      </c>
      <c r="U157" s="105">
        <f>(Table156810[[#This Row],[Commercial Bid Price per case for NOI ($)]]-Table156810[[#This Row],[Pass-Thru Value per case ($)]])+Table156810[[#This Row],[Region 2: Fixed Fee Per Case ($)]]</f>
        <v>0</v>
      </c>
      <c r="V157" s="24" t="e">
        <f>(Table156810[[#This Row],[Commercial Bid Price per case for NOI ($)]]+Table156810[[#This Row],[Region 2: Fixed Fee Per Case ($)]])/Table156810[[#This Row],['# of CN Servings per case]]</f>
        <v>#DIV/0!</v>
      </c>
      <c r="W157" s="20" t="e">
        <f>Table156810[[#This Row],[Total Cost Per Serving (N+P)/I]]*Table156810[[#This Row],[Estimated Servings Annual]]</f>
        <v>#DIV/0!</v>
      </c>
    </row>
    <row r="158" spans="1:23" ht="15.75" thickBot="1" x14ac:dyDescent="0.3">
      <c r="A158" s="45" t="s">
        <v>72</v>
      </c>
      <c r="B158" s="44" t="s">
        <v>128</v>
      </c>
      <c r="C158" s="9" t="s">
        <v>13</v>
      </c>
      <c r="D158" s="9"/>
      <c r="E158" s="9"/>
      <c r="F158" s="9"/>
      <c r="G158" s="9"/>
      <c r="H158" s="9"/>
      <c r="I158" s="9"/>
      <c r="J158" s="95">
        <v>200000</v>
      </c>
      <c r="K158" s="9"/>
      <c r="L158" s="9"/>
      <c r="M158" s="9"/>
      <c r="N158" s="9"/>
      <c r="O158" s="9"/>
      <c r="P158" s="9"/>
      <c r="Q158" s="111"/>
      <c r="R158" s="106">
        <f>(Table156810[[#This Row],[Commercial Bid Price per case for NOI ($)]]-Table156810[[#This Row],[Pass-Thru Value per case ($)]])+Table156810[[#This Row],[Region 1: Fixed Fee Per Case ($)]]</f>
        <v>0</v>
      </c>
      <c r="S158" s="21" t="e">
        <f>(Table156810[[#This Row],[Commercial Bid Price per case for NOI ($)]]+Table156810[[#This Row],[Region 1: Fixed Fee Per Case ($)]])/Table156810[[#This Row],['# of CN Servings per case]]</f>
        <v>#DIV/0!</v>
      </c>
      <c r="T158" s="120" t="e">
        <f>Table156810[[#This Row],[Total Cost Per Serving (N+O)/I]]*Table156810[[#This Row],[Estimated Servings Annual]]</f>
        <v>#DIV/0!</v>
      </c>
      <c r="U158" s="106">
        <f>(Table156810[[#This Row],[Commercial Bid Price per case for NOI ($)]]-Table156810[[#This Row],[Pass-Thru Value per case ($)]])+Table156810[[#This Row],[Region 2: Fixed Fee Per Case ($)]]</f>
        <v>0</v>
      </c>
      <c r="V158" s="25" t="e">
        <f>(Table156810[[#This Row],[Commercial Bid Price per case for NOI ($)]]+Table156810[[#This Row],[Region 2: Fixed Fee Per Case ($)]])/Table156810[[#This Row],['# of CN Servings per case]]</f>
        <v>#DIV/0!</v>
      </c>
      <c r="W158" s="23" t="e">
        <f>Table156810[[#This Row],[Total Cost Per Serving (N+P)/I]]*Table156810[[#This Row],[Estimated Servings Annual]]</f>
        <v>#DIV/0!</v>
      </c>
    </row>
    <row r="159" spans="1:23" ht="30" x14ac:dyDescent="0.25">
      <c r="A159" s="45" t="s">
        <v>72</v>
      </c>
      <c r="B159" s="42" t="s">
        <v>129</v>
      </c>
      <c r="C159" s="3" t="s">
        <v>84</v>
      </c>
      <c r="D159" s="4"/>
      <c r="E159" s="4"/>
      <c r="F159" s="4"/>
      <c r="G159" s="4"/>
      <c r="H159" s="4"/>
      <c r="I159" s="4"/>
      <c r="J159" s="92">
        <v>500000</v>
      </c>
      <c r="K159" s="4"/>
      <c r="L159" s="4"/>
      <c r="M159" s="4"/>
      <c r="N159" s="4"/>
      <c r="O159" s="4"/>
      <c r="P159" s="4"/>
      <c r="Q159" s="109"/>
      <c r="R159" s="104">
        <f>(Table156810[[#This Row],[Commercial Bid Price per case for NOI ($)]]-Table156810[[#This Row],[Pass-Thru Value per case ($)]])+Table156810[[#This Row],[Region 1: Fixed Fee Per Case ($)]]</f>
        <v>0</v>
      </c>
      <c r="S159" s="15" t="e">
        <f>(Table156810[[#This Row],[Commercial Bid Price per case for NOI ($)]]+Table156810[[#This Row],[Region 1: Fixed Fee Per Case ($)]])/Table156810[[#This Row],['# of CN Servings per case]]</f>
        <v>#DIV/0!</v>
      </c>
      <c r="T159" s="115" t="e">
        <f>Table156810[[#This Row],[Total Cost Per Serving (N+O)/I]]*Table156810[[#This Row],[Estimated Servings Annual]]</f>
        <v>#DIV/0!</v>
      </c>
      <c r="U159" s="104">
        <f>(Table156810[[#This Row],[Commercial Bid Price per case for NOI ($)]]-Table156810[[#This Row],[Pass-Thru Value per case ($)]])+Table156810[[#This Row],[Region 2: Fixed Fee Per Case ($)]]</f>
        <v>0</v>
      </c>
      <c r="V159" s="31" t="e">
        <f>(Table156810[[#This Row],[Commercial Bid Price per case for NOI ($)]]+Table156810[[#This Row],[Region 2: Fixed Fee Per Case ($)]])/Table156810[[#This Row],['# of CN Servings per case]]</f>
        <v>#DIV/0!</v>
      </c>
      <c r="W159" s="17" t="e">
        <f>Table156810[[#This Row],[Total Cost Per Serving (N+P)/I]]*Table156810[[#This Row],[Estimated Servings Annual]]</f>
        <v>#DIV/0!</v>
      </c>
    </row>
    <row r="160" spans="1:23" ht="30" x14ac:dyDescent="0.25">
      <c r="A160" s="45" t="s">
        <v>72</v>
      </c>
      <c r="B160" s="43" t="s">
        <v>129</v>
      </c>
      <c r="C160" s="6" t="s">
        <v>84</v>
      </c>
      <c r="D160" s="7"/>
      <c r="E160" s="7"/>
      <c r="F160" s="7"/>
      <c r="G160" s="7"/>
      <c r="H160" s="7"/>
      <c r="I160" s="7"/>
      <c r="J160" s="93">
        <v>500000</v>
      </c>
      <c r="K160" s="7"/>
      <c r="L160" s="7"/>
      <c r="M160" s="7"/>
      <c r="N160" s="7"/>
      <c r="O160" s="7"/>
      <c r="P160" s="7"/>
      <c r="Q160" s="110"/>
      <c r="R160" s="105">
        <f>(Table156810[[#This Row],[Commercial Bid Price per case for NOI ($)]]-Table156810[[#This Row],[Pass-Thru Value per case ($)]])+Table156810[[#This Row],[Region 1: Fixed Fee Per Case ($)]]</f>
        <v>0</v>
      </c>
      <c r="S160" s="18" t="e">
        <f>(Table156810[[#This Row],[Commercial Bid Price per case for NOI ($)]]+Table156810[[#This Row],[Region 1: Fixed Fee Per Case ($)]])/Table156810[[#This Row],['# of CN Servings per case]]</f>
        <v>#DIV/0!</v>
      </c>
      <c r="T160" s="118" t="e">
        <f>Table156810[[#This Row],[Total Cost Per Serving (N+O)/I]]*Table156810[[#This Row],[Estimated Servings Annual]]</f>
        <v>#DIV/0!</v>
      </c>
      <c r="U160" s="105">
        <f>(Table156810[[#This Row],[Commercial Bid Price per case for NOI ($)]]-Table156810[[#This Row],[Pass-Thru Value per case ($)]])+Table156810[[#This Row],[Region 2: Fixed Fee Per Case ($)]]</f>
        <v>0</v>
      </c>
      <c r="V160" s="24" t="e">
        <f>(Table156810[[#This Row],[Commercial Bid Price per case for NOI ($)]]+Table156810[[#This Row],[Region 2: Fixed Fee Per Case ($)]])/Table156810[[#This Row],['# of CN Servings per case]]</f>
        <v>#DIV/0!</v>
      </c>
      <c r="W160" s="20" t="e">
        <f>Table156810[[#This Row],[Total Cost Per Serving (N+P)/I]]*Table156810[[#This Row],[Estimated Servings Annual]]</f>
        <v>#DIV/0!</v>
      </c>
    </row>
    <row r="161" spans="1:23" ht="30" x14ac:dyDescent="0.25">
      <c r="A161" s="45" t="s">
        <v>72</v>
      </c>
      <c r="B161" s="43" t="s">
        <v>129</v>
      </c>
      <c r="C161" s="7" t="s">
        <v>13</v>
      </c>
      <c r="D161" s="7"/>
      <c r="E161" s="7"/>
      <c r="F161" s="7"/>
      <c r="G161" s="7"/>
      <c r="H161" s="7"/>
      <c r="I161" s="7"/>
      <c r="J161" s="93">
        <v>500000</v>
      </c>
      <c r="K161" s="7"/>
      <c r="L161" s="7"/>
      <c r="M161" s="7"/>
      <c r="N161" s="7"/>
      <c r="O161" s="7"/>
      <c r="P161" s="7"/>
      <c r="Q161" s="110"/>
      <c r="R161" s="105">
        <f>(Table156810[[#This Row],[Commercial Bid Price per case for NOI ($)]]-Table156810[[#This Row],[Pass-Thru Value per case ($)]])+Table156810[[#This Row],[Region 1: Fixed Fee Per Case ($)]]</f>
        <v>0</v>
      </c>
      <c r="S161" s="18" t="e">
        <f>(Table156810[[#This Row],[Commercial Bid Price per case for NOI ($)]]+Table156810[[#This Row],[Region 1: Fixed Fee Per Case ($)]])/Table156810[[#This Row],['# of CN Servings per case]]</f>
        <v>#DIV/0!</v>
      </c>
      <c r="T161" s="118" t="e">
        <f>Table156810[[#This Row],[Total Cost Per Serving (N+O)/I]]*Table156810[[#This Row],[Estimated Servings Annual]]</f>
        <v>#DIV/0!</v>
      </c>
      <c r="U161" s="105">
        <f>(Table156810[[#This Row],[Commercial Bid Price per case for NOI ($)]]-Table156810[[#This Row],[Pass-Thru Value per case ($)]])+Table156810[[#This Row],[Region 2: Fixed Fee Per Case ($)]]</f>
        <v>0</v>
      </c>
      <c r="V161" s="24" t="e">
        <f>(Table156810[[#This Row],[Commercial Bid Price per case for NOI ($)]]+Table156810[[#This Row],[Region 2: Fixed Fee Per Case ($)]])/Table156810[[#This Row],['# of CN Servings per case]]</f>
        <v>#DIV/0!</v>
      </c>
      <c r="W161" s="20" t="e">
        <f>Table156810[[#This Row],[Total Cost Per Serving (N+P)/I]]*Table156810[[#This Row],[Estimated Servings Annual]]</f>
        <v>#DIV/0!</v>
      </c>
    </row>
    <row r="162" spans="1:23" ht="30" x14ac:dyDescent="0.25">
      <c r="A162" s="45" t="s">
        <v>72</v>
      </c>
      <c r="B162" s="43" t="s">
        <v>129</v>
      </c>
      <c r="C162" s="7" t="s">
        <v>13</v>
      </c>
      <c r="D162" s="7"/>
      <c r="E162" s="7"/>
      <c r="F162" s="7"/>
      <c r="G162" s="7"/>
      <c r="H162" s="7"/>
      <c r="I162" s="7"/>
      <c r="J162" s="93">
        <v>500000</v>
      </c>
      <c r="K162" s="7"/>
      <c r="L162" s="7"/>
      <c r="M162" s="7"/>
      <c r="N162" s="7"/>
      <c r="O162" s="7"/>
      <c r="P162" s="7"/>
      <c r="Q162" s="110"/>
      <c r="R162" s="105">
        <f>(Table156810[[#This Row],[Commercial Bid Price per case for NOI ($)]]-Table156810[[#This Row],[Pass-Thru Value per case ($)]])+Table156810[[#This Row],[Region 1: Fixed Fee Per Case ($)]]</f>
        <v>0</v>
      </c>
      <c r="S162" s="18" t="e">
        <f>(Table156810[[#This Row],[Commercial Bid Price per case for NOI ($)]]+Table156810[[#This Row],[Region 1: Fixed Fee Per Case ($)]])/Table156810[[#This Row],['# of CN Servings per case]]</f>
        <v>#DIV/0!</v>
      </c>
      <c r="T162" s="118" t="e">
        <f>Table156810[[#This Row],[Total Cost Per Serving (N+O)/I]]*Table156810[[#This Row],[Estimated Servings Annual]]</f>
        <v>#DIV/0!</v>
      </c>
      <c r="U162" s="105">
        <f>(Table156810[[#This Row],[Commercial Bid Price per case for NOI ($)]]-Table156810[[#This Row],[Pass-Thru Value per case ($)]])+Table156810[[#This Row],[Region 2: Fixed Fee Per Case ($)]]</f>
        <v>0</v>
      </c>
      <c r="V162" s="24" t="e">
        <f>(Table156810[[#This Row],[Commercial Bid Price per case for NOI ($)]]+Table156810[[#This Row],[Region 2: Fixed Fee Per Case ($)]])/Table156810[[#This Row],['# of CN Servings per case]]</f>
        <v>#DIV/0!</v>
      </c>
      <c r="W162" s="20" t="e">
        <f>Table156810[[#This Row],[Total Cost Per Serving (N+P)/I]]*Table156810[[#This Row],[Estimated Servings Annual]]</f>
        <v>#DIV/0!</v>
      </c>
    </row>
    <row r="163" spans="1:23" ht="30" x14ac:dyDescent="0.25">
      <c r="A163" s="45" t="s">
        <v>72</v>
      </c>
      <c r="B163" s="43" t="s">
        <v>129</v>
      </c>
      <c r="C163" s="7" t="s">
        <v>13</v>
      </c>
      <c r="D163" s="7"/>
      <c r="E163" s="7"/>
      <c r="F163" s="7"/>
      <c r="G163" s="7"/>
      <c r="H163" s="7"/>
      <c r="I163" s="7"/>
      <c r="J163" s="93">
        <v>500000</v>
      </c>
      <c r="K163" s="7"/>
      <c r="L163" s="7"/>
      <c r="M163" s="7"/>
      <c r="N163" s="7"/>
      <c r="O163" s="7"/>
      <c r="P163" s="7"/>
      <c r="Q163" s="110"/>
      <c r="R163" s="105">
        <f>(Table156810[[#This Row],[Commercial Bid Price per case for NOI ($)]]-Table156810[[#This Row],[Pass-Thru Value per case ($)]])+Table156810[[#This Row],[Region 1: Fixed Fee Per Case ($)]]</f>
        <v>0</v>
      </c>
      <c r="S163" s="18" t="e">
        <f>(Table156810[[#This Row],[Commercial Bid Price per case for NOI ($)]]+Table156810[[#This Row],[Region 1: Fixed Fee Per Case ($)]])/Table156810[[#This Row],['# of CN Servings per case]]</f>
        <v>#DIV/0!</v>
      </c>
      <c r="T163" s="118" t="e">
        <f>Table156810[[#This Row],[Total Cost Per Serving (N+O)/I]]*Table156810[[#This Row],[Estimated Servings Annual]]</f>
        <v>#DIV/0!</v>
      </c>
      <c r="U163" s="105">
        <f>(Table156810[[#This Row],[Commercial Bid Price per case for NOI ($)]]-Table156810[[#This Row],[Pass-Thru Value per case ($)]])+Table156810[[#This Row],[Region 2: Fixed Fee Per Case ($)]]</f>
        <v>0</v>
      </c>
      <c r="V163" s="24" t="e">
        <f>(Table156810[[#This Row],[Commercial Bid Price per case for NOI ($)]]+Table156810[[#This Row],[Region 2: Fixed Fee Per Case ($)]])/Table156810[[#This Row],['# of CN Servings per case]]</f>
        <v>#DIV/0!</v>
      </c>
      <c r="W163" s="20" t="e">
        <f>Table156810[[#This Row],[Total Cost Per Serving (N+P)/I]]*Table156810[[#This Row],[Estimated Servings Annual]]</f>
        <v>#DIV/0!</v>
      </c>
    </row>
    <row r="164" spans="1:23" ht="30.75" thickBot="1" x14ac:dyDescent="0.3">
      <c r="A164" s="46" t="s">
        <v>72</v>
      </c>
      <c r="B164" s="44" t="s">
        <v>129</v>
      </c>
      <c r="C164" s="9" t="s">
        <v>13</v>
      </c>
      <c r="D164" s="9"/>
      <c r="E164" s="9"/>
      <c r="F164" s="9"/>
      <c r="G164" s="9"/>
      <c r="H164" s="9"/>
      <c r="I164" s="9"/>
      <c r="J164" s="94">
        <v>500000</v>
      </c>
      <c r="K164" s="9"/>
      <c r="L164" s="9"/>
      <c r="M164" s="9"/>
      <c r="N164" s="9"/>
      <c r="O164" s="9"/>
      <c r="P164" s="9"/>
      <c r="Q164" s="111"/>
      <c r="R164" s="106">
        <f>(Table156810[[#This Row],[Commercial Bid Price per case for NOI ($)]]-Table156810[[#This Row],[Pass-Thru Value per case ($)]])+Table156810[[#This Row],[Region 1: Fixed Fee Per Case ($)]]</f>
        <v>0</v>
      </c>
      <c r="S164" s="21" t="e">
        <f>(Table156810[[#This Row],[Commercial Bid Price per case for NOI ($)]]+Table156810[[#This Row],[Region 1: Fixed Fee Per Case ($)]])/Table156810[[#This Row],['# of CN Servings per case]]</f>
        <v>#DIV/0!</v>
      </c>
      <c r="T164" s="120" t="e">
        <f>Table156810[[#This Row],[Total Cost Per Serving (N+O)/I]]*Table156810[[#This Row],[Estimated Servings Annual]]</f>
        <v>#DIV/0!</v>
      </c>
      <c r="U164" s="106">
        <f>(Table156810[[#This Row],[Commercial Bid Price per case for NOI ($)]]-Table156810[[#This Row],[Pass-Thru Value per case ($)]])+Table156810[[#This Row],[Region 2: Fixed Fee Per Case ($)]]</f>
        <v>0</v>
      </c>
      <c r="V164" s="25" t="e">
        <f>(Table156810[[#This Row],[Commercial Bid Price per case for NOI ($)]]+Table156810[[#This Row],[Region 2: Fixed Fee Per Case ($)]])/Table156810[[#This Row],['# of CN Servings per case]]</f>
        <v>#DIV/0!</v>
      </c>
      <c r="W164" s="23" t="e">
        <f>Table156810[[#This Row],[Total Cost Per Serving (N+P)/I]]*Table156810[[#This Row],[Estimated Servings Annual]]</f>
        <v>#DIV/0!</v>
      </c>
    </row>
  </sheetData>
  <mergeCells count="3">
    <mergeCell ref="E1:G1"/>
    <mergeCell ref="R1:T1"/>
    <mergeCell ref="U1:W1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Instructions</vt:lpstr>
      <vt:lpstr>Beef</vt:lpstr>
      <vt:lpstr>Cheese</vt:lpstr>
      <vt:lpstr>Chicken</vt:lpstr>
      <vt:lpstr>Other Poultry</vt:lpstr>
      <vt:lpstr>Eggs</vt:lpstr>
      <vt:lpstr>Fruit</vt:lpstr>
      <vt:lpstr>Garbanzo Beans</vt:lpstr>
      <vt:lpstr>Mozzarella</vt:lpstr>
      <vt:lpstr>Peanut Butter</vt:lpstr>
      <vt:lpstr>Pork</vt:lpstr>
      <vt:lpstr>Potatoes</vt:lpstr>
      <vt:lpstr>Sunflower Seed Butter</vt:lpstr>
      <vt:lpstr>Sheet3</vt:lpstr>
    </vt:vector>
  </TitlesOfParts>
  <Company>Iowa Department of Education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White, Sarah [IDOE]</dc:creator>
  <cp:lastModifiedBy>White, Sarah [IDOE]</cp:lastModifiedBy>
  <dcterms:created xsi:type="dcterms:W3CDTF">2019-06-28T16:12:29Z</dcterms:created>
  <dcterms:modified xsi:type="dcterms:W3CDTF">2019-11-05T14:45:27Z</dcterms:modified>
</cp:coreProperties>
</file>