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saveExternalLinkValues="0"/>
  <mc:AlternateContent xmlns:mc="http://schemas.openxmlformats.org/markup-compatibility/2006">
    <mc:Choice Requires="x15">
      <x15ac:absPath xmlns:x15ac="http://schemas.microsoft.com/office/spreadsheetml/2010/11/ac" url="\\Hoovr3s1\MEDTEMP.771\RBYG\A - Contracts in Progress\MED-23-003 FFS NEMT RFP\RFP\Q&amp;A\"/>
    </mc:Choice>
  </mc:AlternateContent>
  <xr:revisionPtr revIDLastSave="0" documentId="13_ncr:1_{E3A40E8E-F973-4E7F-AC65-2C214657FB91}" xr6:coauthVersionLast="47" xr6:coauthVersionMax="47" xr10:uidLastSave="{00000000-0000-0000-0000-000000000000}"/>
  <bookViews>
    <workbookView xWindow="28680" yWindow="-120" windowWidth="25440" windowHeight="15390" tabRatio="601" activeTab="3" xr2:uid="{00000000-000D-0000-FFFF-FFFF00000000}"/>
  </bookViews>
  <sheets>
    <sheet name="IHWP Summary" sheetId="4" r:id="rId1"/>
    <sheet name="SUMMARY 22" sheetId="2" r:id="rId2"/>
    <sheet name="22" sheetId="1" r:id="rId3"/>
    <sheet name="TXIXEXP_TXXICHILDREN" sheetId="3" r:id="rId4"/>
  </sheets>
  <externalReferences>
    <externalReference r:id="rId5"/>
  </externalReferences>
  <definedNames>
    <definedName name="_No_Mths.">'SUMMARY 22'!$U$1</definedName>
    <definedName name="_xlnm.Print_Area" localSheetId="2">'22'!$A$1:$O$104</definedName>
    <definedName name="_xlnm.Print_Area" localSheetId="1">'SUMMARY 22'!$A$1:$S$184</definedName>
    <definedName name="_xlnm.Print_Area" localSheetId="3">TXIXEXP_TXXICHILDREN!$B$3:$O$40</definedName>
    <definedName name="Print_Area_MI" localSheetId="1">'SUMMARY 22'!$B$175:$G$193</definedName>
    <definedName name="Print_Area_MI">'22'!$B$124:$E$172</definedName>
    <definedName name="_xlnm.Print_Titles" localSheetId="2">'22'!$1:$1</definedName>
    <definedName name="_xlnm.Print_Titles" localSheetId="1">'SUMMARY 22'!$3:$4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G60" i="1"/>
  <c r="G70" i="1"/>
  <c r="G68" i="1"/>
  <c r="G65" i="1"/>
  <c r="D14" i="4"/>
  <c r="F60" i="1"/>
  <c r="F80" i="1"/>
  <c r="F33" i="1"/>
  <c r="F70" i="1"/>
  <c r="F68" i="1"/>
  <c r="F65" i="1"/>
  <c r="F57" i="1"/>
  <c r="F35" i="1"/>
  <c r="F34" i="1"/>
  <c r="F32" i="1"/>
  <c r="F30" i="1"/>
  <c r="F29" i="1"/>
  <c r="C14" i="4"/>
  <c r="B16" i="4"/>
  <c r="E99" i="1"/>
  <c r="E97" i="1"/>
  <c r="E95" i="1"/>
  <c r="E60" i="1"/>
  <c r="E80" i="1"/>
  <c r="E33" i="1"/>
  <c r="E70" i="1"/>
  <c r="E68" i="1"/>
  <c r="E65" i="1"/>
  <c r="E57" i="1"/>
  <c r="E39" i="1"/>
  <c r="E35" i="1"/>
  <c r="E34" i="1"/>
  <c r="E32" i="1"/>
  <c r="E30" i="1"/>
  <c r="E29" i="1"/>
  <c r="B14" i="4"/>
  <c r="D70" i="1" l="1"/>
  <c r="D60" i="1"/>
  <c r="D29" i="1"/>
  <c r="D16" i="4" l="1"/>
  <c r="E16" i="4"/>
  <c r="F16" i="4"/>
  <c r="G16" i="4"/>
  <c r="H16" i="4"/>
  <c r="I16" i="4"/>
  <c r="J16" i="4"/>
  <c r="K16" i="4"/>
  <c r="L16" i="4"/>
  <c r="M16" i="4"/>
  <c r="C16" i="4"/>
  <c r="F5" i="2" l="1"/>
  <c r="Q5" i="2" l="1"/>
  <c r="M15" i="3" l="1"/>
  <c r="N51" i="1" s="1"/>
  <c r="M37" i="3"/>
  <c r="N103" i="1" l="1"/>
  <c r="K37" i="3"/>
  <c r="K15" i="3"/>
  <c r="L51" i="1" s="1"/>
  <c r="L103" i="1" l="1"/>
  <c r="J15" i="3"/>
  <c r="K51" i="1" s="1"/>
  <c r="J37" i="3"/>
  <c r="K103" i="1" l="1"/>
  <c r="I37" i="3" l="1"/>
  <c r="I15" i="3"/>
  <c r="J51" i="1" s="1"/>
  <c r="G37" i="3" l="1"/>
  <c r="O5" i="2" l="1"/>
  <c r="P5" i="2"/>
  <c r="O6" i="2"/>
  <c r="P6" i="2"/>
  <c r="Q6" i="2"/>
  <c r="O7" i="2"/>
  <c r="P7" i="2"/>
  <c r="Q7" i="2"/>
  <c r="O8" i="2"/>
  <c r="P8" i="2"/>
  <c r="Q8" i="2"/>
  <c r="O9" i="2"/>
  <c r="P9" i="2"/>
  <c r="Q9" i="2"/>
  <c r="O10" i="2"/>
  <c r="P10" i="2"/>
  <c r="Q10" i="2"/>
  <c r="O11" i="2"/>
  <c r="P11" i="2"/>
  <c r="Q11" i="2"/>
  <c r="O12" i="2"/>
  <c r="P12" i="2"/>
  <c r="Q12" i="2"/>
  <c r="O13" i="2"/>
  <c r="P13" i="2"/>
  <c r="Q13" i="2"/>
  <c r="O14" i="2"/>
  <c r="P14" i="2"/>
  <c r="Q14" i="2"/>
  <c r="O15" i="2"/>
  <c r="P15" i="2"/>
  <c r="Q15" i="2"/>
  <c r="O16" i="2"/>
  <c r="P16" i="2"/>
  <c r="Q16" i="2"/>
  <c r="O19" i="2"/>
  <c r="P19" i="2"/>
  <c r="Q19" i="2"/>
  <c r="O21" i="2"/>
  <c r="P21" i="2"/>
  <c r="Q21" i="2"/>
  <c r="O22" i="2"/>
  <c r="P22" i="2"/>
  <c r="Q22" i="2"/>
  <c r="O23" i="2"/>
  <c r="P23" i="2"/>
  <c r="Q23" i="2"/>
  <c r="O24" i="2"/>
  <c r="P24" i="2"/>
  <c r="Q24" i="2"/>
  <c r="O25" i="2"/>
  <c r="P25" i="2"/>
  <c r="Q25" i="2"/>
  <c r="O26" i="2"/>
  <c r="P26" i="2"/>
  <c r="Q26" i="2"/>
  <c r="O27" i="2"/>
  <c r="P27" i="2"/>
  <c r="Q27" i="2"/>
  <c r="O28" i="2"/>
  <c r="P28" i="2"/>
  <c r="Q28" i="2"/>
  <c r="O31" i="2"/>
  <c r="P31" i="2"/>
  <c r="Q31" i="2"/>
  <c r="O33" i="2"/>
  <c r="P33" i="2"/>
  <c r="Q33" i="2"/>
  <c r="O34" i="2"/>
  <c r="P34" i="2"/>
  <c r="Q34" i="2"/>
  <c r="O35" i="2"/>
  <c r="P35" i="2"/>
  <c r="Q35" i="2"/>
  <c r="O36" i="2"/>
  <c r="P36" i="2"/>
  <c r="Q36" i="2"/>
  <c r="O37" i="2"/>
  <c r="P37" i="2"/>
  <c r="Q37" i="2"/>
  <c r="O38" i="2"/>
  <c r="P38" i="2"/>
  <c r="Q38" i="2"/>
  <c r="O39" i="2"/>
  <c r="P39" i="2"/>
  <c r="Q39" i="2"/>
  <c r="O40" i="2"/>
  <c r="P40" i="2"/>
  <c r="Q40" i="2"/>
  <c r="O41" i="2"/>
  <c r="P41" i="2"/>
  <c r="Q41" i="2"/>
  <c r="O42" i="2"/>
  <c r="P42" i="2"/>
  <c r="Q42" i="2"/>
  <c r="O43" i="2"/>
  <c r="P43" i="2"/>
  <c r="Q43" i="2"/>
  <c r="O44" i="2"/>
  <c r="P44" i="2"/>
  <c r="Q44" i="2"/>
  <c r="O47" i="2"/>
  <c r="P47" i="2"/>
  <c r="Q47" i="2"/>
  <c r="O48" i="2"/>
  <c r="P48" i="2"/>
  <c r="Q48" i="2"/>
  <c r="O49" i="2"/>
  <c r="P49" i="2"/>
  <c r="Q49" i="2"/>
  <c r="O52" i="2"/>
  <c r="P52" i="2"/>
  <c r="Q52" i="2"/>
  <c r="O54" i="2"/>
  <c r="P54" i="2"/>
  <c r="Q54" i="2"/>
  <c r="O56" i="2"/>
  <c r="P56" i="2"/>
  <c r="Q56" i="2"/>
  <c r="O57" i="2"/>
  <c r="P57" i="2"/>
  <c r="Q57" i="2"/>
  <c r="O58" i="2"/>
  <c r="P58" i="2"/>
  <c r="Q58" i="2"/>
  <c r="O61" i="2"/>
  <c r="P61" i="2"/>
  <c r="Q61" i="2"/>
  <c r="O62" i="2"/>
  <c r="P62" i="2"/>
  <c r="Q62" i="2"/>
  <c r="O63" i="2"/>
  <c r="P63" i="2"/>
  <c r="Q63" i="2"/>
  <c r="O64" i="2"/>
  <c r="P64" i="2"/>
  <c r="Q64" i="2"/>
  <c r="O65" i="2"/>
  <c r="P65" i="2"/>
  <c r="Q65" i="2"/>
  <c r="O68" i="2"/>
  <c r="P68" i="2"/>
  <c r="Q68" i="2"/>
  <c r="O70" i="2"/>
  <c r="P70" i="2"/>
  <c r="Q70" i="2"/>
  <c r="O71" i="2"/>
  <c r="P71" i="2"/>
  <c r="Q71" i="2"/>
  <c r="O72" i="2"/>
  <c r="P72" i="2"/>
  <c r="Q72" i="2"/>
  <c r="O73" i="2"/>
  <c r="P73" i="2"/>
  <c r="Q73" i="2"/>
  <c r="O76" i="2"/>
  <c r="P76" i="2"/>
  <c r="Q76" i="2"/>
  <c r="O78" i="2"/>
  <c r="P78" i="2"/>
  <c r="Q78" i="2"/>
  <c r="O79" i="2"/>
  <c r="P79" i="2"/>
  <c r="Q79" i="2"/>
  <c r="O80" i="2"/>
  <c r="P80" i="2"/>
  <c r="Q80" i="2"/>
  <c r="O83" i="2"/>
  <c r="P83" i="2"/>
  <c r="Q83" i="2"/>
  <c r="O84" i="2"/>
  <c r="P84" i="2"/>
  <c r="Q84" i="2"/>
  <c r="O85" i="2"/>
  <c r="P85" i="2"/>
  <c r="Q85" i="2"/>
  <c r="O86" i="2"/>
  <c r="P86" i="2"/>
  <c r="Q86" i="2"/>
  <c r="O89" i="2"/>
  <c r="P89" i="2"/>
  <c r="Q89" i="2"/>
  <c r="O90" i="2"/>
  <c r="P90" i="2"/>
  <c r="Q90" i="2"/>
  <c r="O91" i="2"/>
  <c r="P91" i="2"/>
  <c r="Q91" i="2"/>
  <c r="O92" i="2"/>
  <c r="P92" i="2"/>
  <c r="Q92" i="2"/>
  <c r="O93" i="2"/>
  <c r="P93" i="2"/>
  <c r="Q93" i="2"/>
  <c r="O94" i="2"/>
  <c r="P94" i="2"/>
  <c r="Q94" i="2"/>
  <c r="O95" i="2"/>
  <c r="P95" i="2"/>
  <c r="Q95" i="2"/>
  <c r="O96" i="2"/>
  <c r="P96" i="2"/>
  <c r="Q96" i="2"/>
  <c r="O97" i="2"/>
  <c r="P97" i="2"/>
  <c r="Q97" i="2"/>
  <c r="O100" i="2"/>
  <c r="P100" i="2"/>
  <c r="Q100" i="2"/>
  <c r="O101" i="2"/>
  <c r="P101" i="2"/>
  <c r="Q101" i="2"/>
  <c r="O104" i="2"/>
  <c r="P104" i="2"/>
  <c r="Q104" i="2"/>
  <c r="O105" i="2"/>
  <c r="P105" i="2"/>
  <c r="Q105" i="2"/>
  <c r="O106" i="2"/>
  <c r="P106" i="2"/>
  <c r="Q106" i="2"/>
  <c r="O107" i="2"/>
  <c r="P107" i="2"/>
  <c r="Q107" i="2"/>
  <c r="O108" i="2"/>
  <c r="P108" i="2"/>
  <c r="Q108" i="2"/>
  <c r="O109" i="2"/>
  <c r="P109" i="2"/>
  <c r="Q109" i="2"/>
  <c r="O113" i="2"/>
  <c r="P113" i="2"/>
  <c r="Q113" i="2"/>
  <c r="O115" i="2"/>
  <c r="P115" i="2"/>
  <c r="Q115" i="2"/>
  <c r="O117" i="2"/>
  <c r="P117" i="2"/>
  <c r="Q117" i="2"/>
  <c r="O121" i="2"/>
  <c r="P121" i="2"/>
  <c r="Q121" i="2"/>
  <c r="O123" i="2"/>
  <c r="P123" i="2"/>
  <c r="Q123" i="2"/>
  <c r="O125" i="2"/>
  <c r="P125" i="2"/>
  <c r="Q125" i="2"/>
  <c r="O126" i="2"/>
  <c r="P126" i="2"/>
  <c r="Q126" i="2"/>
  <c r="O128" i="2"/>
  <c r="P128" i="2"/>
  <c r="Q128" i="2"/>
  <c r="O130" i="2"/>
  <c r="P130" i="2"/>
  <c r="Q130" i="2"/>
  <c r="O131" i="2"/>
  <c r="P131" i="2"/>
  <c r="Q131" i="2"/>
  <c r="O132" i="2"/>
  <c r="P132" i="2"/>
  <c r="Q132" i="2"/>
  <c r="O135" i="2"/>
  <c r="P135" i="2"/>
  <c r="Q135" i="2"/>
  <c r="O137" i="2"/>
  <c r="P137" i="2"/>
  <c r="Q137" i="2"/>
  <c r="O138" i="2"/>
  <c r="P138" i="2"/>
  <c r="Q138" i="2"/>
  <c r="O141" i="2"/>
  <c r="P141" i="2"/>
  <c r="Q141" i="2"/>
  <c r="O143" i="2"/>
  <c r="P143" i="2"/>
  <c r="Q143" i="2"/>
  <c r="O144" i="2"/>
  <c r="P144" i="2"/>
  <c r="Q144" i="2"/>
  <c r="P149" i="2"/>
  <c r="O133" i="2" l="1"/>
  <c r="O74" i="2"/>
  <c r="O59" i="2"/>
  <c r="O139" i="2"/>
  <c r="O145" i="2"/>
  <c r="Q133" i="2"/>
  <c r="P102" i="2"/>
  <c r="Q139" i="2"/>
  <c r="O17" i="2"/>
  <c r="P133" i="2"/>
  <c r="O87" i="2"/>
  <c r="Q50" i="2"/>
  <c r="O29" i="2"/>
  <c r="O102" i="2"/>
  <c r="Q87" i="2"/>
  <c r="O81" i="2"/>
  <c r="P74" i="2"/>
  <c r="Q81" i="2"/>
  <c r="O66" i="2"/>
  <c r="P139" i="2"/>
  <c r="P59" i="2"/>
  <c r="O50" i="2"/>
  <c r="O110" i="2"/>
  <c r="O45" i="2"/>
  <c r="Q66" i="2"/>
  <c r="O98" i="2"/>
  <c r="Q59" i="2"/>
  <c r="Q145" i="2"/>
  <c r="Q102" i="2"/>
  <c r="Q98" i="2"/>
  <c r="Q74" i="2"/>
  <c r="Q45" i="2"/>
  <c r="Q110" i="2"/>
  <c r="Q17" i="2"/>
  <c r="Q29" i="2"/>
  <c r="P145" i="2"/>
  <c r="P29" i="2"/>
  <c r="P66" i="2"/>
  <c r="P98" i="2"/>
  <c r="P81" i="2"/>
  <c r="P87" i="2"/>
  <c r="P17" i="2"/>
  <c r="P110" i="2"/>
  <c r="P50" i="2"/>
  <c r="P45" i="2"/>
  <c r="O156" i="2"/>
  <c r="O157" i="2"/>
  <c r="O155" i="2"/>
  <c r="O149" i="2"/>
  <c r="K12" i="4" l="1"/>
  <c r="K6" i="4"/>
  <c r="K8" i="4" s="1"/>
  <c r="O158" i="2"/>
  <c r="K13" i="4" l="1"/>
  <c r="K18" i="4"/>
  <c r="M42" i="2"/>
  <c r="N42" i="2"/>
  <c r="M43" i="2"/>
  <c r="N43" i="2"/>
  <c r="G42" i="2"/>
  <c r="H42" i="2"/>
  <c r="I42" i="2"/>
  <c r="J42" i="2"/>
  <c r="K42" i="2"/>
  <c r="L42" i="2"/>
  <c r="G43" i="2"/>
  <c r="H43" i="2"/>
  <c r="I43" i="2"/>
  <c r="J43" i="2"/>
  <c r="K43" i="2"/>
  <c r="L43" i="2"/>
  <c r="F43" i="2"/>
  <c r="F42" i="2"/>
  <c r="R43" i="2" l="1"/>
  <c r="R42" i="2"/>
  <c r="G155" i="2"/>
  <c r="H155" i="2"/>
  <c r="I155" i="2"/>
  <c r="J155" i="2"/>
  <c r="K155" i="2"/>
  <c r="L155" i="2"/>
  <c r="M155" i="2"/>
  <c r="N155" i="2"/>
  <c r="P155" i="2"/>
  <c r="Q155" i="2"/>
  <c r="G156" i="2"/>
  <c r="H156" i="2"/>
  <c r="I156" i="2"/>
  <c r="J156" i="2"/>
  <c r="K156" i="2"/>
  <c r="L156" i="2"/>
  <c r="M156" i="2"/>
  <c r="N156" i="2"/>
  <c r="P156" i="2"/>
  <c r="Q156" i="2"/>
  <c r="G157" i="2"/>
  <c r="H157" i="2"/>
  <c r="I157" i="2"/>
  <c r="J157" i="2"/>
  <c r="K157" i="2"/>
  <c r="L157" i="2"/>
  <c r="M157" i="2"/>
  <c r="N157" i="2"/>
  <c r="P157" i="2"/>
  <c r="Q157" i="2"/>
  <c r="F157" i="2"/>
  <c r="F156" i="2"/>
  <c r="F155" i="2"/>
  <c r="M28" i="2"/>
  <c r="N28" i="2"/>
  <c r="G28" i="2"/>
  <c r="H28" i="2"/>
  <c r="I28" i="2"/>
  <c r="J28" i="2"/>
  <c r="K28" i="2"/>
  <c r="L28" i="2"/>
  <c r="F28" i="2"/>
  <c r="M12" i="4" l="1"/>
  <c r="M6" i="4"/>
  <c r="M8" i="4" s="1"/>
  <c r="S42" i="2"/>
  <c r="S43" i="2"/>
  <c r="H12" i="4"/>
  <c r="H6" i="4"/>
  <c r="H8" i="4" s="1"/>
  <c r="L12" i="4"/>
  <c r="L6" i="4"/>
  <c r="L8" i="4" s="1"/>
  <c r="G6" i="4"/>
  <c r="G8" i="4" s="1"/>
  <c r="G12" i="4"/>
  <c r="J12" i="4"/>
  <c r="J6" i="4"/>
  <c r="J8" i="4" s="1"/>
  <c r="I12" i="4"/>
  <c r="I6" i="4"/>
  <c r="I8" i="4" s="1"/>
  <c r="D12" i="4"/>
  <c r="D6" i="4"/>
  <c r="D8" i="4" s="1"/>
  <c r="B12" i="4"/>
  <c r="B6" i="4"/>
  <c r="B8" i="4" s="1"/>
  <c r="C12" i="4"/>
  <c r="C6" i="4"/>
  <c r="C8" i="4" s="1"/>
  <c r="F12" i="4"/>
  <c r="F6" i="4"/>
  <c r="F8" i="4" s="1"/>
  <c r="E12" i="4"/>
  <c r="E6" i="4"/>
  <c r="E8" i="4" s="1"/>
  <c r="F158" i="2"/>
  <c r="K158" i="2"/>
  <c r="G158" i="2"/>
  <c r="N158" i="2"/>
  <c r="J158" i="2"/>
  <c r="Q158" i="2"/>
  <c r="M158" i="2"/>
  <c r="I158" i="2"/>
  <c r="P158" i="2"/>
  <c r="L158" i="2"/>
  <c r="H158" i="2"/>
  <c r="R28" i="2"/>
  <c r="R156" i="2"/>
  <c r="S156" i="2" s="1"/>
  <c r="R155" i="2"/>
  <c r="S155" i="2" s="1"/>
  <c r="R157" i="2"/>
  <c r="S157" i="2" s="1"/>
  <c r="L13" i="4" l="1"/>
  <c r="L18" i="4"/>
  <c r="E13" i="4"/>
  <c r="E18" i="4"/>
  <c r="F13" i="4"/>
  <c r="F18" i="4"/>
  <c r="I13" i="4"/>
  <c r="I18" i="4"/>
  <c r="H13" i="4"/>
  <c r="H18" i="4"/>
  <c r="D13" i="4"/>
  <c r="D18" i="4"/>
  <c r="C13" i="4"/>
  <c r="C18" i="4"/>
  <c r="G13" i="4"/>
  <c r="G18" i="4"/>
  <c r="J13" i="4"/>
  <c r="J18" i="4"/>
  <c r="B13" i="4"/>
  <c r="B18" i="4"/>
  <c r="M13" i="4"/>
  <c r="M18" i="4"/>
  <c r="S28" i="2"/>
  <c r="Q162" i="2"/>
  <c r="Q177" i="2"/>
  <c r="M177" i="2"/>
  <c r="M162" i="2"/>
  <c r="O162" i="2"/>
  <c r="O177" i="2"/>
  <c r="P162" i="2"/>
  <c r="P177" i="2"/>
  <c r="N162" i="2"/>
  <c r="N177" i="2"/>
  <c r="S158" i="2"/>
  <c r="J162" i="2"/>
  <c r="J177" i="2"/>
  <c r="I162" i="2"/>
  <c r="I177" i="2"/>
  <c r="F162" i="2"/>
  <c r="F177" i="2"/>
  <c r="H162" i="2"/>
  <c r="H177" i="2"/>
  <c r="G162" i="2"/>
  <c r="G177" i="2"/>
  <c r="K162" i="2"/>
  <c r="K177" i="2"/>
  <c r="L162" i="2"/>
  <c r="L177" i="2"/>
  <c r="R158" i="2"/>
  <c r="R177" i="2" s="1"/>
  <c r="G44" i="2" l="1"/>
  <c r="H44" i="2"/>
  <c r="I44" i="2"/>
  <c r="J44" i="2"/>
  <c r="K44" i="2"/>
  <c r="L44" i="2"/>
  <c r="M44" i="2"/>
  <c r="N44" i="2"/>
  <c r="F44" i="2"/>
  <c r="O11" i="3" l="1"/>
  <c r="O12" i="3"/>
  <c r="O13" i="3"/>
  <c r="G5" i="2" l="1"/>
  <c r="H5" i="2"/>
  <c r="I5" i="2"/>
  <c r="J5" i="2"/>
  <c r="K5" i="2"/>
  <c r="L5" i="2"/>
  <c r="M5" i="2"/>
  <c r="N5" i="2"/>
  <c r="F6" i="2"/>
  <c r="G6" i="2"/>
  <c r="H6" i="2"/>
  <c r="I6" i="2"/>
  <c r="J6" i="2"/>
  <c r="K6" i="2"/>
  <c r="L6" i="2"/>
  <c r="M6" i="2"/>
  <c r="N6" i="2"/>
  <c r="F7" i="2"/>
  <c r="G7" i="2"/>
  <c r="H7" i="2"/>
  <c r="I7" i="2"/>
  <c r="J7" i="2"/>
  <c r="K7" i="2"/>
  <c r="L7" i="2"/>
  <c r="M7" i="2"/>
  <c r="N7" i="2"/>
  <c r="F8" i="2"/>
  <c r="G8" i="2"/>
  <c r="H8" i="2"/>
  <c r="I8" i="2"/>
  <c r="J8" i="2"/>
  <c r="K8" i="2"/>
  <c r="L8" i="2"/>
  <c r="M8" i="2"/>
  <c r="N8" i="2"/>
  <c r="F9" i="2"/>
  <c r="G9" i="2"/>
  <c r="H9" i="2"/>
  <c r="I9" i="2"/>
  <c r="J9" i="2"/>
  <c r="K9" i="2"/>
  <c r="L9" i="2"/>
  <c r="M9" i="2"/>
  <c r="N9" i="2"/>
  <c r="F10" i="2"/>
  <c r="G10" i="2"/>
  <c r="H10" i="2"/>
  <c r="I10" i="2"/>
  <c r="J10" i="2"/>
  <c r="K10" i="2"/>
  <c r="L10" i="2"/>
  <c r="M10" i="2"/>
  <c r="N10" i="2"/>
  <c r="F11" i="2"/>
  <c r="G11" i="2"/>
  <c r="H11" i="2"/>
  <c r="I11" i="2"/>
  <c r="J11" i="2"/>
  <c r="K11" i="2"/>
  <c r="L11" i="2"/>
  <c r="M11" i="2"/>
  <c r="N11" i="2"/>
  <c r="F12" i="2"/>
  <c r="G12" i="2"/>
  <c r="H12" i="2"/>
  <c r="I12" i="2"/>
  <c r="J12" i="2"/>
  <c r="K12" i="2"/>
  <c r="L12" i="2"/>
  <c r="M12" i="2"/>
  <c r="N12" i="2"/>
  <c r="F13" i="2"/>
  <c r="G13" i="2"/>
  <c r="H13" i="2"/>
  <c r="I13" i="2"/>
  <c r="J13" i="2"/>
  <c r="K13" i="2"/>
  <c r="L13" i="2"/>
  <c r="M13" i="2"/>
  <c r="N13" i="2"/>
  <c r="F14" i="2"/>
  <c r="G14" i="2"/>
  <c r="H14" i="2"/>
  <c r="I14" i="2"/>
  <c r="J14" i="2"/>
  <c r="K14" i="2"/>
  <c r="L14" i="2"/>
  <c r="M14" i="2"/>
  <c r="N14" i="2"/>
  <c r="F15" i="2"/>
  <c r="G15" i="2"/>
  <c r="H15" i="2"/>
  <c r="I15" i="2"/>
  <c r="J15" i="2"/>
  <c r="K15" i="2"/>
  <c r="L15" i="2"/>
  <c r="M15" i="2"/>
  <c r="N15" i="2"/>
  <c r="F16" i="2"/>
  <c r="G16" i="2"/>
  <c r="H16" i="2"/>
  <c r="I16" i="2"/>
  <c r="J16" i="2"/>
  <c r="K16" i="2"/>
  <c r="L16" i="2"/>
  <c r="M16" i="2"/>
  <c r="N16" i="2"/>
  <c r="J73" i="2"/>
  <c r="J72" i="2"/>
  <c r="O35" i="3"/>
  <c r="J123" i="2"/>
  <c r="K123" i="2"/>
  <c r="L123" i="2"/>
  <c r="M123" i="2"/>
  <c r="N123" i="2"/>
  <c r="G149" i="2"/>
  <c r="H149" i="2"/>
  <c r="I149" i="2"/>
  <c r="J149" i="2"/>
  <c r="K149" i="2"/>
  <c r="L149" i="2"/>
  <c r="M149" i="2"/>
  <c r="N149" i="2"/>
  <c r="Q149" i="2"/>
  <c r="F149" i="2"/>
  <c r="G125" i="2"/>
  <c r="H125" i="2"/>
  <c r="I125" i="2"/>
  <c r="J125" i="2"/>
  <c r="K125" i="2"/>
  <c r="L125" i="2"/>
  <c r="M125" i="2"/>
  <c r="N125" i="2"/>
  <c r="F125" i="2"/>
  <c r="H121" i="2"/>
  <c r="I121" i="2"/>
  <c r="J121" i="2"/>
  <c r="K121" i="2"/>
  <c r="L121" i="2"/>
  <c r="M121" i="2"/>
  <c r="N121" i="2"/>
  <c r="G121" i="2"/>
  <c r="F121" i="2"/>
  <c r="O36" i="3"/>
  <c r="N37" i="3"/>
  <c r="L37" i="3"/>
  <c r="H37" i="3"/>
  <c r="F37" i="3"/>
  <c r="E37" i="3"/>
  <c r="D37" i="3"/>
  <c r="C37" i="3"/>
  <c r="G123" i="2"/>
  <c r="H123" i="2"/>
  <c r="I123" i="2"/>
  <c r="F123" i="2"/>
  <c r="F19" i="2"/>
  <c r="G19" i="2"/>
  <c r="H19" i="2"/>
  <c r="I19" i="2"/>
  <c r="J19" i="2"/>
  <c r="K19" i="2"/>
  <c r="L19" i="2"/>
  <c r="M19" i="2"/>
  <c r="N19" i="2"/>
  <c r="F21" i="2"/>
  <c r="G21" i="2"/>
  <c r="H21" i="2"/>
  <c r="I21" i="2"/>
  <c r="J21" i="2"/>
  <c r="K21" i="2"/>
  <c r="L21" i="2"/>
  <c r="M21" i="2"/>
  <c r="N21" i="2"/>
  <c r="F22" i="2"/>
  <c r="G22" i="2"/>
  <c r="H22" i="2"/>
  <c r="I22" i="2"/>
  <c r="J22" i="2"/>
  <c r="K22" i="2"/>
  <c r="L22" i="2"/>
  <c r="M22" i="2"/>
  <c r="N22" i="2"/>
  <c r="F23" i="2"/>
  <c r="G23" i="2"/>
  <c r="H23" i="2"/>
  <c r="I23" i="2"/>
  <c r="J23" i="2"/>
  <c r="K23" i="2"/>
  <c r="L23" i="2"/>
  <c r="M23" i="2"/>
  <c r="N23" i="2"/>
  <c r="F24" i="2"/>
  <c r="G24" i="2"/>
  <c r="H24" i="2"/>
  <c r="I24" i="2"/>
  <c r="J24" i="2"/>
  <c r="K24" i="2"/>
  <c r="L24" i="2"/>
  <c r="M24" i="2"/>
  <c r="N24" i="2"/>
  <c r="F25" i="2"/>
  <c r="G25" i="2"/>
  <c r="H25" i="2"/>
  <c r="I25" i="2"/>
  <c r="J25" i="2"/>
  <c r="K25" i="2"/>
  <c r="L25" i="2"/>
  <c r="M25" i="2"/>
  <c r="N25" i="2"/>
  <c r="F26" i="2"/>
  <c r="G26" i="2"/>
  <c r="H26" i="2"/>
  <c r="I26" i="2"/>
  <c r="J26" i="2"/>
  <c r="K26" i="2"/>
  <c r="L26" i="2"/>
  <c r="M26" i="2"/>
  <c r="N26" i="2"/>
  <c r="F27" i="2"/>
  <c r="G27" i="2"/>
  <c r="H27" i="2"/>
  <c r="I27" i="2"/>
  <c r="J27" i="2"/>
  <c r="K27" i="2"/>
  <c r="L27" i="2"/>
  <c r="M27" i="2"/>
  <c r="N27" i="2"/>
  <c r="F31" i="2"/>
  <c r="G31" i="2"/>
  <c r="H31" i="2"/>
  <c r="I31" i="2"/>
  <c r="J31" i="2"/>
  <c r="K31" i="2"/>
  <c r="L31" i="2"/>
  <c r="M31" i="2"/>
  <c r="N31" i="2"/>
  <c r="F33" i="2"/>
  <c r="G33" i="2"/>
  <c r="H33" i="2"/>
  <c r="I33" i="2"/>
  <c r="J33" i="2"/>
  <c r="K33" i="2"/>
  <c r="L33" i="2"/>
  <c r="M33" i="2"/>
  <c r="N33" i="2"/>
  <c r="F34" i="2"/>
  <c r="G34" i="2"/>
  <c r="H34" i="2"/>
  <c r="I34" i="2"/>
  <c r="J34" i="2"/>
  <c r="K34" i="2"/>
  <c r="L34" i="2"/>
  <c r="M34" i="2"/>
  <c r="N34" i="2"/>
  <c r="F35" i="2"/>
  <c r="G35" i="2"/>
  <c r="H35" i="2"/>
  <c r="I35" i="2"/>
  <c r="J35" i="2"/>
  <c r="K35" i="2"/>
  <c r="L35" i="2"/>
  <c r="M35" i="2"/>
  <c r="N35" i="2"/>
  <c r="F36" i="2"/>
  <c r="G36" i="2"/>
  <c r="H36" i="2"/>
  <c r="I36" i="2"/>
  <c r="J36" i="2"/>
  <c r="K36" i="2"/>
  <c r="L36" i="2"/>
  <c r="M36" i="2"/>
  <c r="N36" i="2"/>
  <c r="F37" i="2"/>
  <c r="G37" i="2"/>
  <c r="H37" i="2"/>
  <c r="I37" i="2"/>
  <c r="J37" i="2"/>
  <c r="K37" i="2"/>
  <c r="L37" i="2"/>
  <c r="M37" i="2"/>
  <c r="N37" i="2"/>
  <c r="F38" i="2"/>
  <c r="G38" i="2"/>
  <c r="H38" i="2"/>
  <c r="I38" i="2"/>
  <c r="J38" i="2"/>
  <c r="K38" i="2"/>
  <c r="L38" i="2"/>
  <c r="M38" i="2"/>
  <c r="N38" i="2"/>
  <c r="F39" i="2"/>
  <c r="G39" i="2"/>
  <c r="H39" i="2"/>
  <c r="I39" i="2"/>
  <c r="J39" i="2"/>
  <c r="K39" i="2"/>
  <c r="L39" i="2"/>
  <c r="M39" i="2"/>
  <c r="N39" i="2"/>
  <c r="F40" i="2"/>
  <c r="G40" i="2"/>
  <c r="H40" i="2"/>
  <c r="I40" i="2"/>
  <c r="J40" i="2"/>
  <c r="K40" i="2"/>
  <c r="L40" i="2"/>
  <c r="M40" i="2"/>
  <c r="N40" i="2"/>
  <c r="F41" i="2"/>
  <c r="G41" i="2"/>
  <c r="H41" i="2"/>
  <c r="I41" i="2"/>
  <c r="J41" i="2"/>
  <c r="K41" i="2"/>
  <c r="L41" i="2"/>
  <c r="M41" i="2"/>
  <c r="N41" i="2"/>
  <c r="F47" i="2"/>
  <c r="G47" i="2"/>
  <c r="H47" i="2"/>
  <c r="I47" i="2"/>
  <c r="J47" i="2"/>
  <c r="K47" i="2"/>
  <c r="L47" i="2"/>
  <c r="M47" i="2"/>
  <c r="N47" i="2"/>
  <c r="F48" i="2"/>
  <c r="G48" i="2"/>
  <c r="H48" i="2"/>
  <c r="I48" i="2"/>
  <c r="J48" i="2"/>
  <c r="K48" i="2"/>
  <c r="L48" i="2"/>
  <c r="M48" i="2"/>
  <c r="N48" i="2"/>
  <c r="F49" i="2"/>
  <c r="G49" i="2"/>
  <c r="H49" i="2"/>
  <c r="I49" i="2"/>
  <c r="J49" i="2"/>
  <c r="K49" i="2"/>
  <c r="L49" i="2"/>
  <c r="M49" i="2"/>
  <c r="N49" i="2"/>
  <c r="F52" i="2"/>
  <c r="G52" i="2"/>
  <c r="H52" i="2"/>
  <c r="I52" i="2"/>
  <c r="J52" i="2"/>
  <c r="K52" i="2"/>
  <c r="L52" i="2"/>
  <c r="M52" i="2"/>
  <c r="N52" i="2"/>
  <c r="F54" i="2"/>
  <c r="G54" i="2"/>
  <c r="H54" i="2"/>
  <c r="I54" i="2"/>
  <c r="J54" i="2"/>
  <c r="K54" i="2"/>
  <c r="L54" i="2"/>
  <c r="M54" i="2"/>
  <c r="N54" i="2"/>
  <c r="F56" i="2"/>
  <c r="G56" i="2"/>
  <c r="H56" i="2"/>
  <c r="I56" i="2"/>
  <c r="J56" i="2"/>
  <c r="K56" i="2"/>
  <c r="L56" i="2"/>
  <c r="M56" i="2"/>
  <c r="N56" i="2"/>
  <c r="F57" i="2"/>
  <c r="G57" i="2"/>
  <c r="H57" i="2"/>
  <c r="I57" i="2"/>
  <c r="J57" i="2"/>
  <c r="K57" i="2"/>
  <c r="L57" i="2"/>
  <c r="M57" i="2"/>
  <c r="N57" i="2"/>
  <c r="F58" i="2"/>
  <c r="G58" i="2"/>
  <c r="G59" i="2" s="1"/>
  <c r="H58" i="2"/>
  <c r="I58" i="2"/>
  <c r="J58" i="2"/>
  <c r="K58" i="2"/>
  <c r="L58" i="2"/>
  <c r="M58" i="2"/>
  <c r="N58" i="2"/>
  <c r="F61" i="2"/>
  <c r="G61" i="2"/>
  <c r="H61" i="2"/>
  <c r="I61" i="2"/>
  <c r="J61" i="2"/>
  <c r="K61" i="2"/>
  <c r="L61" i="2"/>
  <c r="M61" i="2"/>
  <c r="N61" i="2"/>
  <c r="F62" i="2"/>
  <c r="G62" i="2"/>
  <c r="H62" i="2"/>
  <c r="I62" i="2"/>
  <c r="J62" i="2"/>
  <c r="K62" i="2"/>
  <c r="L62" i="2"/>
  <c r="M62" i="2"/>
  <c r="N62" i="2"/>
  <c r="F63" i="2"/>
  <c r="G63" i="2"/>
  <c r="H63" i="2"/>
  <c r="I63" i="2"/>
  <c r="J63" i="2"/>
  <c r="K63" i="2"/>
  <c r="L63" i="2"/>
  <c r="M63" i="2"/>
  <c r="N63" i="2"/>
  <c r="F64" i="2"/>
  <c r="G64" i="2"/>
  <c r="H64" i="2"/>
  <c r="I64" i="2"/>
  <c r="J64" i="2"/>
  <c r="K64" i="2"/>
  <c r="L64" i="2"/>
  <c r="M64" i="2"/>
  <c r="N64" i="2"/>
  <c r="F65" i="2"/>
  <c r="G65" i="2"/>
  <c r="H65" i="2"/>
  <c r="I65" i="2"/>
  <c r="J65" i="2"/>
  <c r="K65" i="2"/>
  <c r="L65" i="2"/>
  <c r="M65" i="2"/>
  <c r="N65" i="2"/>
  <c r="F68" i="2"/>
  <c r="G68" i="2"/>
  <c r="H68" i="2"/>
  <c r="I68" i="2"/>
  <c r="J68" i="2"/>
  <c r="K68" i="2"/>
  <c r="L68" i="2"/>
  <c r="M68" i="2"/>
  <c r="N68" i="2"/>
  <c r="F70" i="2"/>
  <c r="G70" i="2"/>
  <c r="H70" i="2"/>
  <c r="I70" i="2"/>
  <c r="J70" i="2"/>
  <c r="K70" i="2"/>
  <c r="L70" i="2"/>
  <c r="M70" i="2"/>
  <c r="N70" i="2"/>
  <c r="F71" i="2"/>
  <c r="G71" i="2"/>
  <c r="H71" i="2"/>
  <c r="I71" i="2"/>
  <c r="J71" i="2"/>
  <c r="K71" i="2"/>
  <c r="L71" i="2"/>
  <c r="M71" i="2"/>
  <c r="N71" i="2"/>
  <c r="F72" i="2"/>
  <c r="G72" i="2"/>
  <c r="H72" i="2"/>
  <c r="I72" i="2"/>
  <c r="K72" i="2"/>
  <c r="L72" i="2"/>
  <c r="M72" i="2"/>
  <c r="N72" i="2"/>
  <c r="F73" i="2"/>
  <c r="G73" i="2"/>
  <c r="H73" i="2"/>
  <c r="I73" i="2"/>
  <c r="K73" i="2"/>
  <c r="L73" i="2"/>
  <c r="M73" i="2"/>
  <c r="N73" i="2"/>
  <c r="F76" i="2"/>
  <c r="G76" i="2"/>
  <c r="H76" i="2"/>
  <c r="I76" i="2"/>
  <c r="J76" i="2"/>
  <c r="K76" i="2"/>
  <c r="L76" i="2"/>
  <c r="M76" i="2"/>
  <c r="N76" i="2"/>
  <c r="F78" i="2"/>
  <c r="G78" i="2"/>
  <c r="H78" i="2"/>
  <c r="I78" i="2"/>
  <c r="J78" i="2"/>
  <c r="K78" i="2"/>
  <c r="L78" i="2"/>
  <c r="M78" i="2"/>
  <c r="N78" i="2"/>
  <c r="Q191" i="2"/>
  <c r="F79" i="2"/>
  <c r="G79" i="2"/>
  <c r="H79" i="2"/>
  <c r="I79" i="2"/>
  <c r="J79" i="2"/>
  <c r="K79" i="2"/>
  <c r="L79" i="2"/>
  <c r="M79" i="2"/>
  <c r="N79" i="2"/>
  <c r="F80" i="2"/>
  <c r="G80" i="2"/>
  <c r="H80" i="2"/>
  <c r="I80" i="2"/>
  <c r="J80" i="2"/>
  <c r="K80" i="2"/>
  <c r="L80" i="2"/>
  <c r="M80" i="2"/>
  <c r="N80" i="2"/>
  <c r="F83" i="2"/>
  <c r="G83" i="2"/>
  <c r="H83" i="2"/>
  <c r="I83" i="2"/>
  <c r="J83" i="2"/>
  <c r="K83" i="2"/>
  <c r="L83" i="2"/>
  <c r="M83" i="2"/>
  <c r="N83" i="2"/>
  <c r="F84" i="2"/>
  <c r="G84" i="2"/>
  <c r="H84" i="2"/>
  <c r="I84" i="2"/>
  <c r="J84" i="2"/>
  <c r="K84" i="2"/>
  <c r="L84" i="2"/>
  <c r="M84" i="2"/>
  <c r="N84" i="2"/>
  <c r="F85" i="2"/>
  <c r="G85" i="2"/>
  <c r="H85" i="2"/>
  <c r="I85" i="2"/>
  <c r="J85" i="2"/>
  <c r="K85" i="2"/>
  <c r="L85" i="2"/>
  <c r="M85" i="2"/>
  <c r="N85" i="2"/>
  <c r="F86" i="2"/>
  <c r="G86" i="2"/>
  <c r="H86" i="2"/>
  <c r="I86" i="2"/>
  <c r="J86" i="2"/>
  <c r="K86" i="2"/>
  <c r="L86" i="2"/>
  <c r="M86" i="2"/>
  <c r="N86" i="2"/>
  <c r="F89" i="2"/>
  <c r="G89" i="2"/>
  <c r="H89" i="2"/>
  <c r="I89" i="2"/>
  <c r="J89" i="2"/>
  <c r="K89" i="2"/>
  <c r="L89" i="2"/>
  <c r="M89" i="2"/>
  <c r="N89" i="2"/>
  <c r="F90" i="2"/>
  <c r="G90" i="2"/>
  <c r="H90" i="2"/>
  <c r="I90" i="2"/>
  <c r="J90" i="2"/>
  <c r="K90" i="2"/>
  <c r="L90" i="2"/>
  <c r="M90" i="2"/>
  <c r="N90" i="2"/>
  <c r="F91" i="2"/>
  <c r="G91" i="2"/>
  <c r="H91" i="2"/>
  <c r="I91" i="2"/>
  <c r="J91" i="2"/>
  <c r="K91" i="2"/>
  <c r="L91" i="2"/>
  <c r="M91" i="2"/>
  <c r="N91" i="2"/>
  <c r="F92" i="2"/>
  <c r="G92" i="2"/>
  <c r="H92" i="2"/>
  <c r="I92" i="2"/>
  <c r="J92" i="2"/>
  <c r="K92" i="2"/>
  <c r="L92" i="2"/>
  <c r="M92" i="2"/>
  <c r="N92" i="2"/>
  <c r="F93" i="2"/>
  <c r="G93" i="2"/>
  <c r="H93" i="2"/>
  <c r="I93" i="2"/>
  <c r="J93" i="2"/>
  <c r="K93" i="2"/>
  <c r="L93" i="2"/>
  <c r="M93" i="2"/>
  <c r="N93" i="2"/>
  <c r="F94" i="2"/>
  <c r="G94" i="2"/>
  <c r="H94" i="2"/>
  <c r="I94" i="2"/>
  <c r="J94" i="2"/>
  <c r="K94" i="2"/>
  <c r="L94" i="2"/>
  <c r="M94" i="2"/>
  <c r="N94" i="2"/>
  <c r="F95" i="2"/>
  <c r="G95" i="2"/>
  <c r="H95" i="2"/>
  <c r="I95" i="2"/>
  <c r="J95" i="2"/>
  <c r="K95" i="2"/>
  <c r="L95" i="2"/>
  <c r="M95" i="2"/>
  <c r="N95" i="2"/>
  <c r="F96" i="2"/>
  <c r="G96" i="2"/>
  <c r="H96" i="2"/>
  <c r="I96" i="2"/>
  <c r="J96" i="2"/>
  <c r="K96" i="2"/>
  <c r="L96" i="2"/>
  <c r="M96" i="2"/>
  <c r="N96" i="2"/>
  <c r="F97" i="2"/>
  <c r="G97" i="2"/>
  <c r="H97" i="2"/>
  <c r="I97" i="2"/>
  <c r="J97" i="2"/>
  <c r="K97" i="2"/>
  <c r="L97" i="2"/>
  <c r="M97" i="2"/>
  <c r="N97" i="2"/>
  <c r="F100" i="2"/>
  <c r="G100" i="2"/>
  <c r="H100" i="2"/>
  <c r="I100" i="2"/>
  <c r="J100" i="2"/>
  <c r="K100" i="2"/>
  <c r="L100" i="2"/>
  <c r="M100" i="2"/>
  <c r="N100" i="2"/>
  <c r="F101" i="2"/>
  <c r="G101" i="2"/>
  <c r="H101" i="2"/>
  <c r="I101" i="2"/>
  <c r="J101" i="2"/>
  <c r="K101" i="2"/>
  <c r="L101" i="2"/>
  <c r="M101" i="2"/>
  <c r="N101" i="2"/>
  <c r="F104" i="2"/>
  <c r="G104" i="2"/>
  <c r="H104" i="2"/>
  <c r="I104" i="2"/>
  <c r="J104" i="2"/>
  <c r="K104" i="2"/>
  <c r="L104" i="2"/>
  <c r="M104" i="2"/>
  <c r="N104" i="2"/>
  <c r="F105" i="2"/>
  <c r="G105" i="2"/>
  <c r="H105" i="2"/>
  <c r="I105" i="2"/>
  <c r="J105" i="2"/>
  <c r="K105" i="2"/>
  <c r="L105" i="2"/>
  <c r="M105" i="2"/>
  <c r="N105" i="2"/>
  <c r="F106" i="2"/>
  <c r="G106" i="2"/>
  <c r="H106" i="2"/>
  <c r="I106" i="2"/>
  <c r="J106" i="2"/>
  <c r="K106" i="2"/>
  <c r="L106" i="2"/>
  <c r="M106" i="2"/>
  <c r="N106" i="2"/>
  <c r="F107" i="2"/>
  <c r="G107" i="2"/>
  <c r="H107" i="2"/>
  <c r="I107" i="2"/>
  <c r="J107" i="2"/>
  <c r="K107" i="2"/>
  <c r="L107" i="2"/>
  <c r="M107" i="2"/>
  <c r="N107" i="2"/>
  <c r="F108" i="2"/>
  <c r="G108" i="2"/>
  <c r="H108" i="2"/>
  <c r="I108" i="2"/>
  <c r="J108" i="2"/>
  <c r="K108" i="2"/>
  <c r="L108" i="2"/>
  <c r="M108" i="2"/>
  <c r="N108" i="2"/>
  <c r="F109" i="2"/>
  <c r="G109" i="2"/>
  <c r="H109" i="2"/>
  <c r="I109" i="2"/>
  <c r="J109" i="2"/>
  <c r="K109" i="2"/>
  <c r="L109" i="2"/>
  <c r="M109" i="2"/>
  <c r="N109" i="2"/>
  <c r="F113" i="2"/>
  <c r="F163" i="2" s="1"/>
  <c r="G113" i="2"/>
  <c r="G163" i="2" s="1"/>
  <c r="H113" i="2"/>
  <c r="H163" i="2" s="1"/>
  <c r="I113" i="2"/>
  <c r="I163" i="2" s="1"/>
  <c r="J113" i="2"/>
  <c r="J163" i="2" s="1"/>
  <c r="K113" i="2"/>
  <c r="K163" i="2" s="1"/>
  <c r="L113" i="2"/>
  <c r="L163" i="2" s="1"/>
  <c r="M113" i="2"/>
  <c r="N113" i="2"/>
  <c r="N163" i="2" s="1"/>
  <c r="O163" i="2"/>
  <c r="P163" i="2"/>
  <c r="F115" i="2"/>
  <c r="G115" i="2"/>
  <c r="H115" i="2"/>
  <c r="I115" i="2"/>
  <c r="J115" i="2"/>
  <c r="K115" i="2"/>
  <c r="L115" i="2"/>
  <c r="M115" i="2"/>
  <c r="N115" i="2"/>
  <c r="F117" i="2"/>
  <c r="G117" i="2"/>
  <c r="H117" i="2"/>
  <c r="I117" i="2"/>
  <c r="J117" i="2"/>
  <c r="K117" i="2"/>
  <c r="L117" i="2"/>
  <c r="M117" i="2"/>
  <c r="N117" i="2"/>
  <c r="F126" i="2"/>
  <c r="G126" i="2"/>
  <c r="H126" i="2"/>
  <c r="I126" i="2"/>
  <c r="J126" i="2"/>
  <c r="K126" i="2"/>
  <c r="L126" i="2"/>
  <c r="M126" i="2"/>
  <c r="N126" i="2"/>
  <c r="F128" i="2"/>
  <c r="G128" i="2"/>
  <c r="H128" i="2"/>
  <c r="I128" i="2"/>
  <c r="J128" i="2"/>
  <c r="K128" i="2"/>
  <c r="L128" i="2"/>
  <c r="M128" i="2"/>
  <c r="N128" i="2"/>
  <c r="F130" i="2"/>
  <c r="G130" i="2"/>
  <c r="H130" i="2"/>
  <c r="I130" i="2"/>
  <c r="J130" i="2"/>
  <c r="K130" i="2"/>
  <c r="L130" i="2"/>
  <c r="M130" i="2"/>
  <c r="N130" i="2"/>
  <c r="F131" i="2"/>
  <c r="G131" i="2"/>
  <c r="H131" i="2"/>
  <c r="I131" i="2"/>
  <c r="J131" i="2"/>
  <c r="K131" i="2"/>
  <c r="L131" i="2"/>
  <c r="M131" i="2"/>
  <c r="N131" i="2"/>
  <c r="F132" i="2"/>
  <c r="G132" i="2"/>
  <c r="H132" i="2"/>
  <c r="I132" i="2"/>
  <c r="J132" i="2"/>
  <c r="K132" i="2"/>
  <c r="L132" i="2"/>
  <c r="M132" i="2"/>
  <c r="N132" i="2"/>
  <c r="F135" i="2"/>
  <c r="G135" i="2"/>
  <c r="H135" i="2"/>
  <c r="I135" i="2"/>
  <c r="J135" i="2"/>
  <c r="K135" i="2"/>
  <c r="L135" i="2"/>
  <c r="M135" i="2"/>
  <c r="N135" i="2"/>
  <c r="F137" i="2"/>
  <c r="G137" i="2"/>
  <c r="H137" i="2"/>
  <c r="I137" i="2"/>
  <c r="J137" i="2"/>
  <c r="K137" i="2"/>
  <c r="L137" i="2"/>
  <c r="M137" i="2"/>
  <c r="N137" i="2"/>
  <c r="F138" i="2"/>
  <c r="G138" i="2"/>
  <c r="H138" i="2"/>
  <c r="I138" i="2"/>
  <c r="J138" i="2"/>
  <c r="K138" i="2"/>
  <c r="L138" i="2"/>
  <c r="M138" i="2"/>
  <c r="N138" i="2"/>
  <c r="F141" i="2"/>
  <c r="G141" i="2"/>
  <c r="H141" i="2"/>
  <c r="I141" i="2"/>
  <c r="J141" i="2"/>
  <c r="K141" i="2"/>
  <c r="L141" i="2"/>
  <c r="M141" i="2"/>
  <c r="N141" i="2"/>
  <c r="F143" i="2"/>
  <c r="G143" i="2"/>
  <c r="H143" i="2"/>
  <c r="I143" i="2"/>
  <c r="J143" i="2"/>
  <c r="K143" i="2"/>
  <c r="L143" i="2"/>
  <c r="M143" i="2"/>
  <c r="N143" i="2"/>
  <c r="F144" i="2"/>
  <c r="G144" i="2"/>
  <c r="H144" i="2"/>
  <c r="I144" i="2"/>
  <c r="J144" i="2"/>
  <c r="K144" i="2"/>
  <c r="L144" i="2"/>
  <c r="M144" i="2"/>
  <c r="N144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C15" i="3"/>
  <c r="D15" i="3"/>
  <c r="E15" i="3"/>
  <c r="F15" i="3"/>
  <c r="G15" i="3"/>
  <c r="H51" i="1" s="1"/>
  <c r="H15" i="3"/>
  <c r="I51" i="1" s="1"/>
  <c r="L15" i="3"/>
  <c r="M51" i="1" s="1"/>
  <c r="N15" i="3"/>
  <c r="O51" i="1" s="1"/>
  <c r="O28" i="3"/>
  <c r="O29" i="3"/>
  <c r="O30" i="3"/>
  <c r="O31" i="3"/>
  <c r="O32" i="3"/>
  <c r="O33" i="3"/>
  <c r="O34" i="3"/>
  <c r="R150" i="2"/>
  <c r="S150" i="2" s="1"/>
  <c r="L59" i="2"/>
  <c r="G103" i="1" l="1"/>
  <c r="G107" i="1" s="1"/>
  <c r="G51" i="1"/>
  <c r="F103" i="1"/>
  <c r="F107" i="1" s="1"/>
  <c r="F51" i="1"/>
  <c r="E103" i="1"/>
  <c r="E107" i="1" s="1"/>
  <c r="E51" i="1"/>
  <c r="M59" i="2"/>
  <c r="D103" i="1"/>
  <c r="D107" i="1" s="1"/>
  <c r="D51" i="1"/>
  <c r="M45" i="2"/>
  <c r="M29" i="2"/>
  <c r="K29" i="2"/>
  <c r="J81" i="2"/>
  <c r="I74" i="2"/>
  <c r="H59" i="2"/>
  <c r="H29" i="2"/>
  <c r="O119" i="2"/>
  <c r="O147" i="2" s="1"/>
  <c r="M103" i="1"/>
  <c r="L102" i="2"/>
  <c r="G102" i="2"/>
  <c r="N145" i="2"/>
  <c r="N189" i="2" s="1"/>
  <c r="G188" i="2"/>
  <c r="J145" i="2"/>
  <c r="J173" i="2" s="1"/>
  <c r="M87" i="2"/>
  <c r="F81" i="2"/>
  <c r="N50" i="2"/>
  <c r="H17" i="2"/>
  <c r="H110" i="2"/>
  <c r="K50" i="2"/>
  <c r="G50" i="2"/>
  <c r="H98" i="2"/>
  <c r="I29" i="2"/>
  <c r="F29" i="2"/>
  <c r="F87" i="2"/>
  <c r="O148" i="2"/>
  <c r="I81" i="2"/>
  <c r="K110" i="2"/>
  <c r="K98" i="2"/>
  <c r="L81" i="2"/>
  <c r="K59" i="2"/>
  <c r="H139" i="2"/>
  <c r="H190" i="2" s="1"/>
  <c r="M102" i="2"/>
  <c r="K87" i="2"/>
  <c r="K66" i="2"/>
  <c r="G66" i="2"/>
  <c r="G192" i="2" s="1"/>
  <c r="P148" i="2"/>
  <c r="P179" i="2" s="1"/>
  <c r="M178" i="2"/>
  <c r="M163" i="2"/>
  <c r="G145" i="2"/>
  <c r="G189" i="2" s="1"/>
  <c r="O188" i="2"/>
  <c r="Q187" i="2"/>
  <c r="Q172" i="2"/>
  <c r="M187" i="2"/>
  <c r="Q174" i="2"/>
  <c r="Q188" i="2"/>
  <c r="Q178" i="2"/>
  <c r="Q163" i="2"/>
  <c r="O192" i="2"/>
  <c r="O187" i="2"/>
  <c r="N188" i="2"/>
  <c r="P192" i="2"/>
  <c r="P187" i="2"/>
  <c r="P174" i="2"/>
  <c r="M188" i="2"/>
  <c r="O174" i="2"/>
  <c r="P188" i="2"/>
  <c r="N187" i="2"/>
  <c r="N174" i="2"/>
  <c r="N173" i="2"/>
  <c r="M174" i="2"/>
  <c r="G110" i="2"/>
  <c r="I187" i="2"/>
  <c r="F148" i="2"/>
  <c r="F179" i="2" s="1"/>
  <c r="L187" i="2"/>
  <c r="H187" i="2"/>
  <c r="K187" i="2"/>
  <c r="G187" i="2"/>
  <c r="J187" i="2"/>
  <c r="F187" i="2"/>
  <c r="N178" i="2"/>
  <c r="O190" i="2"/>
  <c r="K139" i="2"/>
  <c r="K190" i="2" s="1"/>
  <c r="K133" i="2"/>
  <c r="K188" i="2"/>
  <c r="L110" i="2"/>
  <c r="P172" i="2"/>
  <c r="H102" i="2"/>
  <c r="N59" i="2"/>
  <c r="J59" i="2"/>
  <c r="F59" i="2"/>
  <c r="J50" i="2"/>
  <c r="F50" i="2"/>
  <c r="R12" i="2"/>
  <c r="N17" i="2"/>
  <c r="N148" i="2"/>
  <c r="N161" i="2" s="1"/>
  <c r="P178" i="2"/>
  <c r="L87" i="2"/>
  <c r="J188" i="2"/>
  <c r="F145" i="2"/>
  <c r="F189" i="2" s="1"/>
  <c r="I133" i="2"/>
  <c r="K17" i="2"/>
  <c r="K45" i="2"/>
  <c r="J148" i="2"/>
  <c r="J179" i="2" s="1"/>
  <c r="J178" i="2"/>
  <c r="I45" i="2"/>
  <c r="H87" i="2"/>
  <c r="G133" i="2"/>
  <c r="G29" i="2"/>
  <c r="G74" i="2"/>
  <c r="G17" i="2"/>
  <c r="G45" i="2"/>
  <c r="I110" i="2"/>
  <c r="F74" i="2"/>
  <c r="H178" i="2"/>
  <c r="N139" i="2"/>
  <c r="N190" i="2" s="1"/>
  <c r="N133" i="2"/>
  <c r="J133" i="2"/>
  <c r="K102" i="2"/>
  <c r="G87" i="2"/>
  <c r="H81" i="2"/>
  <c r="N74" i="2"/>
  <c r="P190" i="2"/>
  <c r="I98" i="2"/>
  <c r="N81" i="2"/>
  <c r="H66" i="2"/>
  <c r="F188" i="2"/>
  <c r="F139" i="2"/>
  <c r="F190" i="2" s="1"/>
  <c r="L178" i="2"/>
  <c r="N119" i="2"/>
  <c r="R36" i="2"/>
  <c r="P173" i="2"/>
  <c r="L74" i="2"/>
  <c r="J74" i="2"/>
  <c r="R86" i="2"/>
  <c r="R109" i="2"/>
  <c r="N110" i="2"/>
  <c r="R149" i="2"/>
  <c r="S149" i="2" s="1"/>
  <c r="M145" i="2"/>
  <c r="M173" i="2" s="1"/>
  <c r="R92" i="2"/>
  <c r="M98" i="2"/>
  <c r="M133" i="2"/>
  <c r="R27" i="2"/>
  <c r="L145" i="2"/>
  <c r="L189" i="2" s="1"/>
  <c r="L66" i="2"/>
  <c r="L192" i="2" s="1"/>
  <c r="L139" i="2"/>
  <c r="L190" i="2" s="1"/>
  <c r="L98" i="2"/>
  <c r="L119" i="2"/>
  <c r="L17" i="2"/>
  <c r="L29" i="2"/>
  <c r="R78" i="2"/>
  <c r="I103" i="1"/>
  <c r="R85" i="2"/>
  <c r="J174" i="2"/>
  <c r="R52" i="2"/>
  <c r="R40" i="2"/>
  <c r="J110" i="2"/>
  <c r="R21" i="2"/>
  <c r="J17" i="2"/>
  <c r="I145" i="2"/>
  <c r="I189" i="2" s="1"/>
  <c r="I66" i="2"/>
  <c r="H148" i="2"/>
  <c r="H179" i="2" s="1"/>
  <c r="H145" i="2"/>
  <c r="H173" i="2" s="1"/>
  <c r="R128" i="2"/>
  <c r="H174" i="2"/>
  <c r="H74" i="2"/>
  <c r="H45" i="2"/>
  <c r="G139" i="2"/>
  <c r="G190" i="2" s="1"/>
  <c r="R97" i="2"/>
  <c r="G174" i="2"/>
  <c r="F178" i="2"/>
  <c r="F102" i="2"/>
  <c r="F172" i="2" s="1"/>
  <c r="F174" i="2"/>
  <c r="F98" i="2"/>
  <c r="R125" i="2"/>
  <c r="F17" i="2"/>
  <c r="F45" i="2"/>
  <c r="F110" i="2"/>
  <c r="R180" i="2"/>
  <c r="I178" i="2"/>
  <c r="R44" i="2"/>
  <c r="R41" i="2"/>
  <c r="R39" i="2"/>
  <c r="R38" i="2"/>
  <c r="R37" i="2"/>
  <c r="R35" i="2"/>
  <c r="R34" i="2"/>
  <c r="N45" i="2"/>
  <c r="R26" i="2"/>
  <c r="R25" i="2"/>
  <c r="R24" i="2"/>
  <c r="R23" i="2"/>
  <c r="R22" i="2"/>
  <c r="N29" i="2"/>
  <c r="J29" i="2"/>
  <c r="R19" i="2"/>
  <c r="R121" i="2"/>
  <c r="R15" i="2"/>
  <c r="R14" i="2"/>
  <c r="R13" i="2"/>
  <c r="R11" i="2"/>
  <c r="R10" i="2"/>
  <c r="R9" i="2"/>
  <c r="R8" i="2"/>
  <c r="R7" i="2"/>
  <c r="R6" i="2"/>
  <c r="M17" i="2"/>
  <c r="R5" i="2"/>
  <c r="Q190" i="2"/>
  <c r="M139" i="2"/>
  <c r="M190" i="2" s="1"/>
  <c r="I139" i="2"/>
  <c r="I190" i="2" s="1"/>
  <c r="R135" i="2"/>
  <c r="R130" i="2"/>
  <c r="I188" i="2"/>
  <c r="R108" i="2"/>
  <c r="R107" i="2"/>
  <c r="R106" i="2"/>
  <c r="R105" i="2"/>
  <c r="R101" i="2"/>
  <c r="N102" i="2"/>
  <c r="J102" i="2"/>
  <c r="R96" i="2"/>
  <c r="R95" i="2"/>
  <c r="R91" i="2"/>
  <c r="N98" i="2"/>
  <c r="J98" i="2"/>
  <c r="R84" i="2"/>
  <c r="N87" i="2"/>
  <c r="J87" i="2"/>
  <c r="R83" i="2"/>
  <c r="R80" i="2"/>
  <c r="R79" i="2"/>
  <c r="K81" i="2"/>
  <c r="R72" i="2"/>
  <c r="R71" i="2"/>
  <c r="M74" i="2"/>
  <c r="R70" i="2"/>
  <c r="R68" i="2"/>
  <c r="R65" i="2"/>
  <c r="R64" i="2"/>
  <c r="R63" i="2"/>
  <c r="R62" i="2"/>
  <c r="M66" i="2"/>
  <c r="M192" i="2" s="1"/>
  <c r="R61" i="2"/>
  <c r="R58" i="2"/>
  <c r="R57" i="2"/>
  <c r="Q192" i="2"/>
  <c r="I59" i="2"/>
  <c r="R54" i="2"/>
  <c r="R49" i="2"/>
  <c r="R48" i="2"/>
  <c r="M50" i="2"/>
  <c r="I50" i="2"/>
  <c r="I148" i="2"/>
  <c r="M148" i="2"/>
  <c r="M161" i="2" s="1"/>
  <c r="Q148" i="2"/>
  <c r="O37" i="3"/>
  <c r="L148" i="2"/>
  <c r="L179" i="2" s="1"/>
  <c r="R31" i="2"/>
  <c r="R113" i="2"/>
  <c r="I174" i="2"/>
  <c r="R104" i="2"/>
  <c r="I17" i="2"/>
  <c r="R33" i="2"/>
  <c r="K174" i="2"/>
  <c r="R73" i="2"/>
  <c r="G148" i="2"/>
  <c r="K148" i="2"/>
  <c r="J103" i="1"/>
  <c r="R47" i="2"/>
  <c r="R56" i="2"/>
  <c r="O15" i="3"/>
  <c r="L45" i="2"/>
  <c r="R89" i="2"/>
  <c r="K74" i="2"/>
  <c r="J45" i="2"/>
  <c r="I87" i="2"/>
  <c r="R117" i="2"/>
  <c r="R141" i="2"/>
  <c r="R123" i="2"/>
  <c r="J119" i="2"/>
  <c r="H103" i="1"/>
  <c r="H119" i="2"/>
  <c r="F119" i="2"/>
  <c r="I119" i="2"/>
  <c r="G119" i="2"/>
  <c r="R144" i="2"/>
  <c r="Q189" i="2"/>
  <c r="O189" i="2"/>
  <c r="K145" i="2"/>
  <c r="K189" i="2" s="1"/>
  <c r="R143" i="2"/>
  <c r="R138" i="2"/>
  <c r="J139" i="2"/>
  <c r="J190" i="2" s="1"/>
  <c r="R137" i="2"/>
  <c r="L174" i="2"/>
  <c r="R132" i="2"/>
  <c r="L133" i="2"/>
  <c r="H133" i="2"/>
  <c r="R131" i="2"/>
  <c r="F133" i="2"/>
  <c r="R126" i="2"/>
  <c r="S126" i="2" s="1"/>
  <c r="L188" i="2"/>
  <c r="H188" i="2"/>
  <c r="R115" i="2"/>
  <c r="M81" i="2"/>
  <c r="G81" i="2"/>
  <c r="R76" i="2"/>
  <c r="N66" i="2"/>
  <c r="J66" i="2"/>
  <c r="F66" i="2"/>
  <c r="L50" i="2"/>
  <c r="H50" i="2"/>
  <c r="H189" i="2"/>
  <c r="M110" i="2"/>
  <c r="I102" i="2"/>
  <c r="R100" i="2"/>
  <c r="R94" i="2"/>
  <c r="R93" i="2"/>
  <c r="R90" i="2"/>
  <c r="G98" i="2"/>
  <c r="R16" i="2"/>
  <c r="L173" i="2"/>
  <c r="F173" i="2"/>
  <c r="O178" i="2"/>
  <c r="K178" i="2"/>
  <c r="G178" i="2"/>
  <c r="J172" i="2" l="1"/>
  <c r="L171" i="2"/>
  <c r="L172" i="2"/>
  <c r="L191" i="2"/>
  <c r="J189" i="2"/>
  <c r="I172" i="2"/>
  <c r="H192" i="2"/>
  <c r="G172" i="2"/>
  <c r="O151" i="2"/>
  <c r="O160" i="2" s="1"/>
  <c r="N172" i="2"/>
  <c r="S31" i="2"/>
  <c r="S65" i="2"/>
  <c r="S115" i="2"/>
  <c r="S144" i="2"/>
  <c r="S70" i="2"/>
  <c r="S96" i="2"/>
  <c r="S41" i="2"/>
  <c r="S12" i="2"/>
  <c r="S48" i="2"/>
  <c r="S107" i="2"/>
  <c r="S76" i="2"/>
  <c r="S143" i="2"/>
  <c r="S90" i="2"/>
  <c r="S123" i="2"/>
  <c r="S33" i="2"/>
  <c r="R178" i="2"/>
  <c r="S64" i="2"/>
  <c r="S7" i="2"/>
  <c r="S26" i="2"/>
  <c r="S37" i="2"/>
  <c r="S44" i="2"/>
  <c r="S97" i="2"/>
  <c r="S85" i="2"/>
  <c r="S91" i="2"/>
  <c r="S13" i="2"/>
  <c r="S79" i="2"/>
  <c r="S89" i="2"/>
  <c r="S62" i="2"/>
  <c r="S68" i="2"/>
  <c r="S84" i="2"/>
  <c r="S101" i="2"/>
  <c r="S108" i="2"/>
  <c r="S14" i="2"/>
  <c r="S24" i="2"/>
  <c r="S34" i="2"/>
  <c r="S39" i="2"/>
  <c r="S125" i="2"/>
  <c r="S78" i="2"/>
  <c r="S27" i="2"/>
  <c r="O161" i="2"/>
  <c r="K192" i="2"/>
  <c r="H191" i="2"/>
  <c r="G173" i="2"/>
  <c r="F161" i="2"/>
  <c r="Q119" i="2"/>
  <c r="Q147" i="2" s="1"/>
  <c r="Q151" i="2" s="1"/>
  <c r="Q160" i="2" s="1"/>
  <c r="O103" i="1"/>
  <c r="Q179" i="2"/>
  <c r="Q161" i="2"/>
  <c r="P119" i="2"/>
  <c r="P161" i="2"/>
  <c r="O173" i="2"/>
  <c r="O172" i="2"/>
  <c r="N192" i="2"/>
  <c r="N171" i="2"/>
  <c r="N179" i="2"/>
  <c r="N186" i="2"/>
  <c r="J186" i="2"/>
  <c r="F171" i="2"/>
  <c r="N191" i="2"/>
  <c r="P189" i="2"/>
  <c r="Q173" i="2"/>
  <c r="G186" i="2"/>
  <c r="H172" i="2"/>
  <c r="M172" i="2"/>
  <c r="M191" i="2"/>
  <c r="O191" i="2"/>
  <c r="K172" i="2"/>
  <c r="I171" i="2"/>
  <c r="P191" i="2"/>
  <c r="M189" i="2"/>
  <c r="M119" i="2"/>
  <c r="M147" i="2" s="1"/>
  <c r="M151" i="2" s="1"/>
  <c r="S22" i="2"/>
  <c r="S6" i="2"/>
  <c r="R174" i="2"/>
  <c r="S135" i="2"/>
  <c r="J171" i="2"/>
  <c r="J175" i="2" s="1"/>
  <c r="J197" i="2" s="1"/>
  <c r="L186" i="2"/>
  <c r="I186" i="2"/>
  <c r="F186" i="2"/>
  <c r="G171" i="2"/>
  <c r="H171" i="2"/>
  <c r="H186" i="2"/>
  <c r="J192" i="2"/>
  <c r="G161" i="2"/>
  <c r="G179" i="2"/>
  <c r="I161" i="2"/>
  <c r="K161" i="2"/>
  <c r="H161" i="2"/>
  <c r="J161" i="2"/>
  <c r="S36" i="2"/>
  <c r="S86" i="2"/>
  <c r="F191" i="2"/>
  <c r="S109" i="2"/>
  <c r="N147" i="2"/>
  <c r="N151" i="2" s="1"/>
  <c r="S92" i="2"/>
  <c r="M179" i="2"/>
  <c r="L161" i="2"/>
  <c r="S40" i="2"/>
  <c r="K179" i="2"/>
  <c r="K173" i="2"/>
  <c r="K119" i="2"/>
  <c r="S21" i="2"/>
  <c r="S128" i="2"/>
  <c r="S15" i="2"/>
  <c r="J191" i="2"/>
  <c r="S52" i="2"/>
  <c r="J147" i="2"/>
  <c r="J151" i="2" s="1"/>
  <c r="I173" i="2"/>
  <c r="I192" i="2"/>
  <c r="I179" i="2"/>
  <c r="S106" i="2"/>
  <c r="I147" i="2"/>
  <c r="I151" i="2" s="1"/>
  <c r="S63" i="2"/>
  <c r="S71" i="2"/>
  <c r="S11" i="2"/>
  <c r="S105" i="2"/>
  <c r="S49" i="2"/>
  <c r="S130" i="2"/>
  <c r="S8" i="2"/>
  <c r="S57" i="2"/>
  <c r="S19" i="2"/>
  <c r="S58" i="2"/>
  <c r="S61" i="2"/>
  <c r="S54" i="2"/>
  <c r="S80" i="2"/>
  <c r="S72" i="2"/>
  <c r="S9" i="2"/>
  <c r="S38" i="2"/>
  <c r="R50" i="2"/>
  <c r="S35" i="2"/>
  <c r="R66" i="2"/>
  <c r="R102" i="2"/>
  <c r="S23" i="2"/>
  <c r="S73" i="2"/>
  <c r="S10" i="2"/>
  <c r="S5" i="2"/>
  <c r="R29" i="2"/>
  <c r="R45" i="2"/>
  <c r="R110" i="2"/>
  <c r="S47" i="2"/>
  <c r="S121" i="2"/>
  <c r="R81" i="2"/>
  <c r="S95" i="2"/>
  <c r="S25" i="2"/>
  <c r="S104" i="2"/>
  <c r="K191" i="2"/>
  <c r="S83" i="2"/>
  <c r="R87" i="2"/>
  <c r="R17" i="2"/>
  <c r="L147" i="2"/>
  <c r="L151" i="2" s="1"/>
  <c r="L160" i="2" s="1"/>
  <c r="O179" i="2"/>
  <c r="R148" i="2"/>
  <c r="R179" i="2" s="1"/>
  <c r="S56" i="2"/>
  <c r="R74" i="2"/>
  <c r="R59" i="2"/>
  <c r="S113" i="2"/>
  <c r="R145" i="2"/>
  <c r="R173" i="2" s="1"/>
  <c r="S117" i="2"/>
  <c r="H147" i="2"/>
  <c r="H151" i="2" s="1"/>
  <c r="S141" i="2"/>
  <c r="R139" i="2"/>
  <c r="S94" i="2"/>
  <c r="R98" i="2"/>
  <c r="G191" i="2"/>
  <c r="G147" i="2"/>
  <c r="G151" i="2" s="1"/>
  <c r="R133" i="2"/>
  <c r="S137" i="2"/>
  <c r="S100" i="2"/>
  <c r="S93" i="2"/>
  <c r="F192" i="2"/>
  <c r="F147" i="2"/>
  <c r="F151" i="2" s="1"/>
  <c r="S132" i="2"/>
  <c r="S138" i="2"/>
  <c r="S16" i="2"/>
  <c r="S131" i="2"/>
  <c r="I191" i="2"/>
  <c r="L193" i="2" l="1"/>
  <c r="L195" i="2" s="1"/>
  <c r="L175" i="2"/>
  <c r="L197" i="2" s="1"/>
  <c r="S145" i="2"/>
  <c r="G175" i="2"/>
  <c r="G197" i="2" s="1"/>
  <c r="S102" i="2"/>
  <c r="H193" i="2"/>
  <c r="H195" i="2" s="1"/>
  <c r="H175" i="2"/>
  <c r="K171" i="2"/>
  <c r="K175" i="2" s="1"/>
  <c r="K197" i="2" s="1"/>
  <c r="M186" i="2"/>
  <c r="M193" i="2" s="1"/>
  <c r="M195" i="2" s="1"/>
  <c r="Q171" i="2"/>
  <c r="Q175" i="2" s="1"/>
  <c r="Q186" i="2"/>
  <c r="Q193" i="2" s="1"/>
  <c r="Q195" i="2" s="1"/>
  <c r="P147" i="2"/>
  <c r="P151" i="2" s="1"/>
  <c r="P160" i="2" s="1"/>
  <c r="P164" i="2" s="1"/>
  <c r="P171" i="2"/>
  <c r="P186" i="2"/>
  <c r="P193" i="2" s="1"/>
  <c r="P195" i="2" s="1"/>
  <c r="O186" i="2"/>
  <c r="O193" i="2" s="1"/>
  <c r="O195" i="2" s="1"/>
  <c r="O171" i="2"/>
  <c r="O175" i="2" s="1"/>
  <c r="O164" i="2"/>
  <c r="M171" i="2"/>
  <c r="M175" i="2" s="1"/>
  <c r="N160" i="2"/>
  <c r="N164" i="2" s="1"/>
  <c r="M160" i="2"/>
  <c r="M164" i="2" s="1"/>
  <c r="R172" i="2"/>
  <c r="K186" i="2"/>
  <c r="K193" i="2" s="1"/>
  <c r="K195" i="2" s="1"/>
  <c r="F160" i="2"/>
  <c r="G160" i="2"/>
  <c r="G164" i="2" s="1"/>
  <c r="N193" i="2"/>
  <c r="N195" i="2" s="1"/>
  <c r="H160" i="2"/>
  <c r="I160" i="2"/>
  <c r="I164" i="2" s="1"/>
  <c r="J160" i="2"/>
  <c r="J164" i="2" s="1"/>
  <c r="K147" i="2"/>
  <c r="K151" i="2" s="1"/>
  <c r="J182" i="2"/>
  <c r="Q164" i="2"/>
  <c r="F175" i="2"/>
  <c r="F197" i="2" s="1"/>
  <c r="R119" i="2"/>
  <c r="N175" i="2"/>
  <c r="S87" i="2"/>
  <c r="L164" i="2"/>
  <c r="J193" i="2"/>
  <c r="J195" i="2" s="1"/>
  <c r="G193" i="2"/>
  <c r="G195" i="2" s="1"/>
  <c r="I175" i="2"/>
  <c r="I197" i="2" s="1"/>
  <c r="S45" i="2"/>
  <c r="S66" i="2"/>
  <c r="S29" i="2"/>
  <c r="S133" i="2"/>
  <c r="I193" i="2"/>
  <c r="I195" i="2" s="1"/>
  <c r="S74" i="2"/>
  <c r="S59" i="2"/>
  <c r="S50" i="2"/>
  <c r="S17" i="2"/>
  <c r="F193" i="2"/>
  <c r="F195" i="2" s="1"/>
  <c r="S148" i="2"/>
  <c r="S110" i="2"/>
  <c r="S139" i="2"/>
  <c r="S98" i="2"/>
  <c r="Q182" i="2" l="1"/>
  <c r="Q197" i="2"/>
  <c r="O182" i="2"/>
  <c r="O197" i="2"/>
  <c r="N182" i="2"/>
  <c r="N197" i="2"/>
  <c r="M182" i="2"/>
  <c r="M197" i="2"/>
  <c r="L182" i="2"/>
  <c r="H182" i="2"/>
  <c r="H197" i="2"/>
  <c r="G182" i="2"/>
  <c r="S119" i="2"/>
  <c r="S147" i="2" s="1"/>
  <c r="H164" i="2"/>
  <c r="F164" i="2"/>
  <c r="F168" i="2" s="1"/>
  <c r="F169" i="2" s="1"/>
  <c r="H166" i="2"/>
  <c r="N166" i="2"/>
  <c r="N168" i="2" s="1"/>
  <c r="N169" i="2" s="1"/>
  <c r="M166" i="2"/>
  <c r="M168" i="2" s="1"/>
  <c r="M169" i="2" s="1"/>
  <c r="O166" i="2"/>
  <c r="O168" i="2" s="1"/>
  <c r="O169" i="2" s="1"/>
  <c r="K166" i="2"/>
  <c r="P175" i="2"/>
  <c r="Q166" i="2"/>
  <c r="Q168" i="2" s="1"/>
  <c r="Q169" i="2" s="1"/>
  <c r="P166" i="2"/>
  <c r="P168" i="2" s="1"/>
  <c r="P169" i="2" s="1"/>
  <c r="R171" i="2"/>
  <c r="R175" i="2" s="1"/>
  <c r="R182" i="2" s="1"/>
  <c r="J166" i="2"/>
  <c r="J168" i="2" s="1"/>
  <c r="J169" i="2" s="1"/>
  <c r="K160" i="2"/>
  <c r="K164" i="2" s="1"/>
  <c r="K182" i="2"/>
  <c r="I182" i="2"/>
  <c r="F182" i="2"/>
  <c r="R147" i="2"/>
  <c r="R153" i="2" s="1"/>
  <c r="P182" i="2" l="1"/>
  <c r="P197" i="2"/>
  <c r="G166" i="2"/>
  <c r="G168" i="2" s="1"/>
  <c r="G169" i="2" s="1"/>
  <c r="H168" i="2"/>
  <c r="H169" i="2" s="1"/>
  <c r="I166" i="2"/>
  <c r="I168" i="2" s="1"/>
  <c r="I169" i="2" s="1"/>
  <c r="L166" i="2"/>
  <c r="L168" i="2" s="1"/>
  <c r="L169" i="2" s="1"/>
  <c r="K168" i="2"/>
  <c r="K169" i="2" s="1"/>
  <c r="R151" i="2"/>
  <c r="S151" i="2" s="1"/>
</calcChain>
</file>

<file path=xl/sharedStrings.xml><?xml version="1.0" encoding="utf-8"?>
<sst xmlns="http://schemas.openxmlformats.org/spreadsheetml/2006/main" count="652" uniqueCount="264">
  <si>
    <t xml:space="preserve"> 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</si>
  <si>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</si>
  <si>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</si>
  <si>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</si>
  <si>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</si>
  <si>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</si>
  <si>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</si>
  <si>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</si>
  <si>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</si>
  <si>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</si>
  <si>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</si>
  <si>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</si>
  <si>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</si>
  <si>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</si>
  <si>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</si>
  <si>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</si>
  <si>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</si>
  <si>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</si>
  <si>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</si>
  <si>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</si>
  <si>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</si>
  <si>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</si>
  <si>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</si>
  <si>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AA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</si>
  <si>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</si>
  <si>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</si>
  <si>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</si>
  <si>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</si>
  <si>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</si>
  <si>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</si>
  <si>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</si>
  <si>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</si>
  <si>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</si>
  <si>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</si>
  <si>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</si>
  <si>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</si>
  <si>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</si>
  <si>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</si>
  <si>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</si>
  <si>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</si>
  <si>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Total Federal Only</t>
  </si>
  <si>
    <t>$$</t>
  </si>
  <si>
    <t>SSI Aged</t>
  </si>
  <si>
    <t>SSI Blind</t>
  </si>
  <si>
    <t>SSI Disabled</t>
  </si>
  <si>
    <t>ADC Adult</t>
  </si>
  <si>
    <t>ADC Child</t>
  </si>
  <si>
    <t>ADC UP Adult</t>
  </si>
  <si>
    <t>ADC UP Child</t>
  </si>
  <si>
    <t>State Supplemental</t>
  </si>
  <si>
    <t>Foster Care - Regular</t>
  </si>
  <si>
    <t>Foster Care IV-E</t>
  </si>
  <si>
    <t>Foster Care - SSI</t>
  </si>
  <si>
    <t>Foster Care - Court Ord.</t>
  </si>
  <si>
    <t>Foster Care CMAP</t>
  </si>
  <si>
    <t>Presub/Sub Ad IV-E</t>
  </si>
  <si>
    <t>Presub/Sub Ad Int IV-E</t>
  </si>
  <si>
    <t>Foster Care Inter IV-E</t>
  </si>
  <si>
    <t>ICF Aged</t>
  </si>
  <si>
    <t>ICF Blind</t>
  </si>
  <si>
    <t>ICF Disabled</t>
  </si>
  <si>
    <t>Presub/Sub Ad SSI-Rel</t>
  </si>
  <si>
    <t>Social Sec Inc Exempt</t>
  </si>
  <si>
    <t>300 PC ICF Aged</t>
  </si>
  <si>
    <t>300 PC ICF Blind</t>
  </si>
  <si>
    <t>300 PC ICF Disabled</t>
  </si>
  <si>
    <t>300 PC Non ICF</t>
  </si>
  <si>
    <t>Non 300 PC ICF</t>
  </si>
  <si>
    <t>All Other CMAP</t>
  </si>
  <si>
    <t>ADC Adult - Vol</t>
  </si>
  <si>
    <t>ADC Child - Vol</t>
  </si>
  <si>
    <t>ADC UP Adult - Vol</t>
  </si>
  <si>
    <t>ADC UP Child - Vol</t>
  </si>
  <si>
    <t>SSI or SSA Aged - Vol</t>
  </si>
  <si>
    <t>SSI or SSA Blind - Vol</t>
  </si>
  <si>
    <t>SSI or SSA Disab - Vol</t>
  </si>
  <si>
    <t>ADC Rel Part Filing Unit</t>
  </si>
  <si>
    <t>MAC (SOBRA) Pg W</t>
  </si>
  <si>
    <t>MAC (SOBRA) Infants</t>
  </si>
  <si>
    <t>MAC (SOBRA) Children</t>
  </si>
  <si>
    <t>QMB Aged</t>
  </si>
  <si>
    <t>QMB Blind</t>
  </si>
  <si>
    <t>QMB Disabled</t>
  </si>
  <si>
    <t>Presump Elig Pg W</t>
  </si>
  <si>
    <t>No $ Under 21 PMIC MHI</t>
  </si>
  <si>
    <t>MN no SD ADC Child</t>
  </si>
  <si>
    <t>MN no SD CMAP Child</t>
  </si>
  <si>
    <t>MN no SD ADC Pg W</t>
  </si>
  <si>
    <t>MN no SD CMAP Pg W</t>
  </si>
  <si>
    <t>MN no SD SSI Aged</t>
  </si>
  <si>
    <t>MN no SD SSI Blind Ad</t>
  </si>
  <si>
    <t>MN no SD SSI Blind Ch</t>
  </si>
  <si>
    <t>MN no SD SSI Disab Ad</t>
  </si>
  <si>
    <t>MN no SD SSI Disab Ch</t>
  </si>
  <si>
    <t>MN no SD ADC Rel Care</t>
  </si>
  <si>
    <t>MN w/SD ADC Child</t>
  </si>
  <si>
    <t>MN w/SD CMAP Child</t>
  </si>
  <si>
    <t>MN w/SD ADC Pg W</t>
  </si>
  <si>
    <t>MN w/SD SSI Aged</t>
  </si>
  <si>
    <t>MN w/SD SSI Blind Adult</t>
  </si>
  <si>
    <t>MN w/SD SSI Disab Ad</t>
  </si>
  <si>
    <t>MN w/SD SSI Disab Ch</t>
  </si>
  <si>
    <t>MN w/SD ADC Rel Care</t>
  </si>
  <si>
    <t>ICF-MR SSI</t>
  </si>
  <si>
    <t>ICF-MR</t>
  </si>
  <si>
    <t>Rec Money Other Adults</t>
  </si>
  <si>
    <t>Other Children</t>
  </si>
  <si>
    <t>Foster Care</t>
  </si>
  <si>
    <t>Dependent Person</t>
  </si>
  <si>
    <t>Other Adults</t>
  </si>
  <si>
    <t>Under 21 PMIC or MHI</t>
  </si>
  <si>
    <t>SSI - MHI</t>
  </si>
  <si>
    <t>MHI Aged SSI</t>
  </si>
  <si>
    <t>MHI Aged Non-SSI</t>
  </si>
  <si>
    <t>Undefined</t>
  </si>
  <si>
    <t># Mths.</t>
  </si>
  <si>
    <t>ACTUAL</t>
  </si>
  <si>
    <t>Aid Category</t>
  </si>
  <si>
    <t>AVG. MTHLY.</t>
  </si>
  <si>
    <t>SUB-TOTAL  A  (SSI)</t>
  </si>
  <si>
    <t>Undefined (Other - State)</t>
  </si>
  <si>
    <t>SUB-TOTAL  B  (FIP)</t>
  </si>
  <si>
    <t>SUB-TOTAL  D  (Foster Care)</t>
  </si>
  <si>
    <t>SUB-TOTAL  E  (Subsidy)</t>
  </si>
  <si>
    <t>(All Other) CMAP</t>
  </si>
  <si>
    <t>Presub/Sub Ad IV-E  (State)</t>
  </si>
  <si>
    <t>SUB-TOTAL  H  (FC - State)</t>
  </si>
  <si>
    <t>SUB-TOTAL  I (Dep Person - State)</t>
  </si>
  <si>
    <t>(Under 21)  PMIC  (or MHI)  (State)</t>
  </si>
  <si>
    <t>SUB-TOTAL  K  (ICF 300%)</t>
  </si>
  <si>
    <t>Non 300 % ICF</t>
  </si>
  <si>
    <t>SUB-TOTAL  M  (MN - Pg W)</t>
  </si>
  <si>
    <t>SUB-TOTAL  N  (MN - Child)</t>
  </si>
  <si>
    <t>SUB-TOTAL  O  (MN - SSI)</t>
  </si>
  <si>
    <t>SUB-TOTAL  P  (MN - Caretaker)</t>
  </si>
  <si>
    <t>SUB-TOTAL  Q (Unemp Parent)</t>
  </si>
  <si>
    <t>Presump (Elig Pg W)</t>
  </si>
  <si>
    <t>SUB-TOTAL  V  (QMB)</t>
  </si>
  <si>
    <t>SUB-TOTAL X ( Fed/Cty Match)</t>
  </si>
  <si>
    <t>SSI - MHI  (Fed/Cty/State)</t>
  </si>
  <si>
    <t>SUB-TOTAL  Z  (MHI)</t>
  </si>
  <si>
    <t>GRAND TOTALS - XIX</t>
  </si>
  <si>
    <t>XIX Medicaid Expansion (XXI Funded)</t>
  </si>
  <si>
    <t>GRAND TOTALS - All XIX Eligibles</t>
  </si>
  <si>
    <t>Funded by both Title XIX &amp; XXI</t>
  </si>
  <si>
    <t>Medical Assistance Eligibility</t>
  </si>
  <si>
    <t>Children Included in MAC - Children</t>
  </si>
  <si>
    <t>Children in the 100 - 133% FPL level, with insurance, that are included under MAC - Children on this report that are funded by Title XIX:</t>
  </si>
  <si>
    <t># MTHS</t>
  </si>
  <si>
    <t>MAC (SOBRA /TXIX EXP) Child</t>
  </si>
  <si>
    <t>MAC (Foster /TXIX EXP) Child</t>
  </si>
  <si>
    <t>MAC (Adopt /TXIX EXP) Child</t>
  </si>
  <si>
    <t>Title XIX Expansion Children Funded by Title XXI</t>
  </si>
  <si>
    <r>
      <t xml:space="preserve">Children in the 100 - 133% FPL level, </t>
    </r>
    <r>
      <rPr>
        <b/>
        <sz val="10"/>
        <rFont val="Arial"/>
        <family val="2"/>
      </rPr>
      <t>without</t>
    </r>
    <r>
      <rPr>
        <sz val="10"/>
        <rFont val="Arial"/>
        <family val="2"/>
      </rPr>
      <t xml:space="preserve"> insurance, that are </t>
    </r>
    <r>
      <rPr>
        <sz val="10"/>
        <rFont val="Arial"/>
        <family val="2"/>
      </rPr>
      <t>funded by Title XXI:</t>
    </r>
  </si>
  <si>
    <t>MAC (SOBRA /WAXMAN) Child</t>
  </si>
  <si>
    <t>MAC (Foster /TXXI) Child</t>
  </si>
  <si>
    <t>MAC (Foster /TXXI WAXMAN) Child</t>
  </si>
  <si>
    <t>MAC (Adopt /TXXI) Child</t>
  </si>
  <si>
    <t>MAC (Adopt /TXXI WAXMAN) Child</t>
  </si>
  <si>
    <t>Employed Disable</t>
  </si>
  <si>
    <t>Medicaid Employed Disabled</t>
  </si>
  <si>
    <t>MAC TXXI Child Under One Year</t>
  </si>
  <si>
    <t>Breast &amp; Cervical Cancer Wm</t>
  </si>
  <si>
    <t>Breast &amp; Cervical Cancer</t>
  </si>
  <si>
    <t>XIX Funded Number of Eligibles by FY 04 Appropriation</t>
  </si>
  <si>
    <t>Aged</t>
  </si>
  <si>
    <t>Disabl</t>
  </si>
  <si>
    <t>Othr Adlt</t>
  </si>
  <si>
    <t>Child</t>
  </si>
  <si>
    <t>Grouping</t>
  </si>
  <si>
    <t xml:space="preserve">Chg to SFY </t>
  </si>
  <si>
    <t xml:space="preserve">Aged </t>
  </si>
  <si>
    <t>Family Planning Waiver</t>
  </si>
  <si>
    <t>IowaCare Enrollees</t>
  </si>
  <si>
    <t>Total Enrollees</t>
  </si>
  <si>
    <t>Less TXXI</t>
  </si>
  <si>
    <t xml:space="preserve">Adult </t>
  </si>
  <si>
    <t>Disabled</t>
  </si>
  <si>
    <t>Total - Regular Medicaid</t>
  </si>
  <si>
    <t>Total - All Eligibles</t>
  </si>
  <si>
    <r>
      <t>NOTE:</t>
    </r>
    <r>
      <rPr>
        <sz val="14"/>
        <rFont val="Arial"/>
        <family val="2"/>
      </rPr>
      <t xml:space="preserve">  These figures are not adjusted for retroactive eligibility.</t>
    </r>
  </si>
  <si>
    <t>Current Enrollment w/o FP Waiver</t>
  </si>
  <si>
    <t>Previous Enrollment</t>
  </si>
  <si>
    <t>Current Change</t>
  </si>
  <si>
    <t>Current % Change</t>
  </si>
  <si>
    <t>Fam. Opp. Act (MKSN)</t>
  </si>
  <si>
    <t>MKSN - Family Opp. Act</t>
  </si>
  <si>
    <t>MIYA</t>
  </si>
  <si>
    <t>LPR Children</t>
  </si>
  <si>
    <t>LPR (TXXI) Child</t>
  </si>
  <si>
    <t>Adult</t>
  </si>
  <si>
    <t>Pregnant Women</t>
  </si>
  <si>
    <t>State-Only/Refugee/Undefined</t>
  </si>
  <si>
    <t>Medically Needy</t>
  </si>
  <si>
    <t>LPR Children - TXIX</t>
  </si>
  <si>
    <t>FC (Own Home)</t>
  </si>
  <si>
    <t>Presumptive (TXXI) Child</t>
  </si>
  <si>
    <t>Presumptive Children - TXIX</t>
  </si>
  <si>
    <t>Presumptive Ch. TXIX</t>
  </si>
  <si>
    <t>Presumptive BCCT</t>
  </si>
  <si>
    <t>BCCT Presumptive</t>
  </si>
  <si>
    <t>XIX Med. Expansion (XXI Presump.)</t>
  </si>
  <si>
    <t>MAC (SOBRA /TXXI) Child</t>
  </si>
  <si>
    <t>Under 21 PMIC MHI</t>
  </si>
  <si>
    <t>PMIC MHI 300%</t>
  </si>
  <si>
    <t>Wellness Plan</t>
  </si>
  <si>
    <t>Marketplace Choice Plan</t>
  </si>
  <si>
    <t>Total Iowa Health and Wellness Plan</t>
  </si>
  <si>
    <t>Presumptive Health and Wellness Plan</t>
  </si>
  <si>
    <t>Marketplace -- 531</t>
  </si>
  <si>
    <t>Wellness -- 501</t>
  </si>
  <si>
    <t>Presumptive IHWP</t>
  </si>
  <si>
    <t>Presumptive Medicaid Adults</t>
  </si>
  <si>
    <t>Presumptive Adults</t>
  </si>
  <si>
    <t>Foster Care to 26</t>
  </si>
  <si>
    <t>Foster Care to 26 - Presump.</t>
  </si>
  <si>
    <t>FC to 26 Presump (FBS)</t>
  </si>
  <si>
    <t>FC to 26 (FCI)</t>
  </si>
  <si>
    <t>Less Health and Wellness Plan</t>
  </si>
  <si>
    <t>Iowa Health and Wellness Plan</t>
  </si>
  <si>
    <t>Foster Care - CMAP</t>
  </si>
  <si>
    <t>Foster Care - ADC</t>
  </si>
  <si>
    <t>Presub/Sub Adop Int</t>
  </si>
  <si>
    <t>Presub/Sub Adop</t>
  </si>
  <si>
    <t>Foster Care Interstate</t>
  </si>
  <si>
    <t>Foster Own Home</t>
  </si>
  <si>
    <t>MN no SD ADC Child/ADC Rel Children</t>
  </si>
  <si>
    <t>MN no SD CMAP Child/CMAP Rel Children</t>
  </si>
  <si>
    <t>MN no SD ADC Pg W/ADC Rel Pg W</t>
  </si>
  <si>
    <t>MN no SD CMAP Pg W/CMAP Rel Pg W</t>
  </si>
  <si>
    <t>MN no SD SSI Aged/SSI Rel Aged</t>
  </si>
  <si>
    <t>MN no SD SSI Blind Ch/SSI Rel Blind Ch</t>
  </si>
  <si>
    <t>MN no SD SSI Blind Ad/SSI Rel Blind Ad</t>
  </si>
  <si>
    <t>MN no SD SSI Disab Ad/SSI Rel Disablr Adult</t>
  </si>
  <si>
    <t>MN no SD SSI Disab Ch/SSI Rel Disab Ch</t>
  </si>
  <si>
    <t>MN no SD ADC Rel Care/ADC Related Caretaker</t>
  </si>
  <si>
    <t>MN w/SD ADC Child/ADC Rel Ch</t>
  </si>
  <si>
    <t>MN w/SD CMAP Child/CMAP Rel Ch</t>
  </si>
  <si>
    <t>MN w/SD ADC Pg W/ADC Rel Pg W</t>
  </si>
  <si>
    <t>Presub/Sub Adoption</t>
  </si>
  <si>
    <t>Adoption Foster Regular</t>
  </si>
  <si>
    <t>Adoption Foster Court</t>
  </si>
  <si>
    <t>Adopt Foster Own Home</t>
  </si>
  <si>
    <t>ADC Rel Ext Medical</t>
  </si>
  <si>
    <t xml:space="preserve">ICF MR SSI </t>
  </si>
  <si>
    <t xml:space="preserve">ICF MR </t>
  </si>
  <si>
    <t>Other Adults State Only</t>
  </si>
  <si>
    <t>Other Children State Only</t>
  </si>
  <si>
    <t>Iowa Department of Human Services</t>
  </si>
  <si>
    <t>Iowa Health and Wellness Plan Enrollment Summary</t>
  </si>
  <si>
    <t>I. Medically Exempt Detail</t>
  </si>
  <si>
    <t>Total Enrollment (Excludes Presumptive)</t>
  </si>
  <si>
    <t>Medically-Exempt</t>
  </si>
  <si>
    <t>II. Newly Eligible Detail</t>
  </si>
  <si>
    <t>Newly Eligible</t>
  </si>
  <si>
    <t>Not Medically Exempt</t>
  </si>
  <si>
    <t>Not Newly Eligible</t>
  </si>
  <si>
    <t>Bureau of MC Enrollment Statistics</t>
  </si>
  <si>
    <t>Family Planning Program</t>
  </si>
  <si>
    <t>Less FP Program</t>
  </si>
  <si>
    <t>SFY 2021</t>
  </si>
  <si>
    <t>SFY 2022 Medicaid Eligibles</t>
  </si>
  <si>
    <t>SFY 2022</t>
  </si>
  <si>
    <t>2022 Avg.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</si>
</sst>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General_)"/>
    <numFmt numFmtId="165" formatCode="[$-409]mmm\-yy;@"/>
    <numFmt numFmtId="166" formatCode="0.0%"/>
  </numFmts>
  <fonts count="25" x14ac:knownFonts="1">
    <font>
      <sz val="12"/>
      <name val="Helv"/>
    </font>
    <font>
      <sz val="10"/>
      <name val="MS Sans Serif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Helv"/>
    </font>
    <font>
      <b/>
      <sz val="14"/>
      <name val="Arial"/>
      <family val="2"/>
    </font>
    <font>
      <sz val="14"/>
      <name val="Helv"/>
    </font>
    <font>
      <b/>
      <u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10"/>
      <name val="Arial"/>
      <family val="2"/>
    </font>
    <font>
      <sz val="12"/>
      <color indexed="10"/>
      <name val="Helv"/>
    </font>
    <font>
      <b/>
      <sz val="10"/>
      <color indexed="10"/>
      <name val="Arial"/>
      <family val="2"/>
    </font>
    <font>
      <b/>
      <sz val="9"/>
      <name val="Arial"/>
      <family val="2"/>
    </font>
    <font>
      <b/>
      <sz val="9"/>
      <color rgb="FF000000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164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/>
  </cellStyleXfs>
  <cellXfs count="176">
    <xf numFmtId="164" fontId="0" fillId="0" borderId="0" xfId="0"/>
    <xf numFmtId="164" fontId="4" fillId="0" borderId="0" xfId="0" applyFont="1"/>
    <xf numFmtId="164" fontId="4" fillId="0" borderId="0" xfId="0" applyFont="1" applyAlignment="1">
      <alignment horizontal="centerContinuous"/>
    </xf>
    <xf numFmtId="164" fontId="4" fillId="0" borderId="0" xfId="0" applyFont="1" applyAlignment="1">
      <alignment horizontal="left"/>
    </xf>
    <xf numFmtId="164" fontId="4" fillId="0" borderId="0" xfId="0" applyFont="1" applyAlignment="1">
      <alignment horizontal="center"/>
    </xf>
    <xf numFmtId="37" fontId="4" fillId="0" borderId="0" xfId="0" applyNumberFormat="1" applyFont="1" applyProtection="1"/>
    <xf numFmtId="38" fontId="4" fillId="0" borderId="0" xfId="1" applyNumberFormat="1" applyFont="1"/>
    <xf numFmtId="10" fontId="4" fillId="0" borderId="0" xfId="3" applyNumberFormat="1" applyFont="1"/>
    <xf numFmtId="10" fontId="4" fillId="0" borderId="0" xfId="0" applyNumberFormat="1" applyFont="1" applyProtection="1"/>
    <xf numFmtId="164" fontId="2" fillId="0" borderId="0" xfId="0" applyFont="1"/>
    <xf numFmtId="164" fontId="7" fillId="0" borderId="0" xfId="0" applyFont="1"/>
    <xf numFmtId="164" fontId="3" fillId="0" borderId="1" xfId="0" applyFont="1" applyBorder="1" applyAlignment="1">
      <alignment horizontal="center"/>
    </xf>
    <xf numFmtId="38" fontId="3" fillId="0" borderId="2" xfId="1" applyNumberFormat="1" applyFont="1" applyBorder="1"/>
    <xf numFmtId="164" fontId="3" fillId="0" borderId="2" xfId="0" applyFont="1" applyBorder="1"/>
    <xf numFmtId="164" fontId="9" fillId="0" borderId="0" xfId="0" applyFont="1" applyAlignment="1">
      <alignment horizontal="center"/>
    </xf>
    <xf numFmtId="164" fontId="3" fillId="0" borderId="0" xfId="0" applyFont="1" applyBorder="1" applyAlignment="1">
      <alignment horizontal="center"/>
    </xf>
    <xf numFmtId="164" fontId="8" fillId="0" borderId="0" xfId="0" applyFont="1" applyBorder="1" applyAlignment="1">
      <alignment horizontal="center"/>
    </xf>
    <xf numFmtId="164" fontId="0" fillId="0" borderId="0" xfId="0" applyBorder="1"/>
    <xf numFmtId="164" fontId="11" fillId="0" borderId="0" xfId="0" applyFont="1" applyAlignment="1">
      <alignment horizontal="centerContinuous"/>
    </xf>
    <xf numFmtId="164" fontId="12" fillId="0" borderId="0" xfId="0" applyFont="1"/>
    <xf numFmtId="164" fontId="12" fillId="0" borderId="0" xfId="0" quotePrefix="1" applyFont="1"/>
    <xf numFmtId="38" fontId="4" fillId="0" borderId="4" xfId="1" applyNumberFormat="1" applyFont="1" applyBorder="1"/>
    <xf numFmtId="38" fontId="5" fillId="0" borderId="0" xfId="1" applyNumberFormat="1" applyFont="1"/>
    <xf numFmtId="164" fontId="3" fillId="0" borderId="5" xfId="0" quotePrefix="1" applyFont="1" applyBorder="1" applyAlignment="1">
      <alignment horizontal="centerContinuous"/>
    </xf>
    <xf numFmtId="164" fontId="4" fillId="0" borderId="6" xfId="0" applyFont="1" applyBorder="1" applyAlignment="1">
      <alignment horizontal="centerContinuous"/>
    </xf>
    <xf numFmtId="164" fontId="4" fillId="0" borderId="7" xfId="0" applyFont="1" applyBorder="1" applyAlignment="1">
      <alignment horizontal="centerContinuous"/>
    </xf>
    <xf numFmtId="164" fontId="11" fillId="0" borderId="0" xfId="0" applyFont="1" applyAlignment="1">
      <alignment horizontal="center"/>
    </xf>
    <xf numFmtId="164" fontId="4" fillId="0" borderId="0" xfId="0" quotePrefix="1" applyFont="1" applyAlignment="1">
      <alignment horizontal="center"/>
    </xf>
    <xf numFmtId="164" fontId="13" fillId="0" borderId="6" xfId="0" applyFont="1" applyBorder="1" applyAlignment="1">
      <alignment horizontal="right"/>
    </xf>
    <xf numFmtId="164" fontId="4" fillId="0" borderId="5" xfId="0" applyFont="1" applyBorder="1" applyAlignment="1">
      <alignment horizontal="center"/>
    </xf>
    <xf numFmtId="38" fontId="3" fillId="0" borderId="8" xfId="1" applyNumberFormat="1" applyFont="1" applyBorder="1"/>
    <xf numFmtId="164" fontId="14" fillId="0" borderId="8" xfId="0" applyFont="1" applyBorder="1" applyAlignment="1">
      <alignment horizontal="center"/>
    </xf>
    <xf numFmtId="164" fontId="13" fillId="0" borderId="0" xfId="0" applyFont="1" applyBorder="1"/>
    <xf numFmtId="164" fontId="13" fillId="0" borderId="6" xfId="0" applyFont="1" applyBorder="1"/>
    <xf numFmtId="164" fontId="4" fillId="0" borderId="5" xfId="0" quotePrefix="1" applyFont="1" applyBorder="1" applyAlignment="1">
      <alignment horizontal="center"/>
    </xf>
    <xf numFmtId="164" fontId="12" fillId="0" borderId="0" xfId="0" applyFont="1" applyBorder="1"/>
    <xf numFmtId="164" fontId="12" fillId="0" borderId="0" xfId="0" quotePrefix="1" applyFont="1" applyBorder="1"/>
    <xf numFmtId="164" fontId="3" fillId="0" borderId="2" xfId="0" applyFont="1" applyBorder="1" applyAlignment="1">
      <alignment horizontal="center"/>
    </xf>
    <xf numFmtId="164" fontId="3" fillId="0" borderId="8" xfId="0" applyFont="1" applyBorder="1" applyAlignment="1">
      <alignment horizontal="center"/>
    </xf>
    <xf numFmtId="164" fontId="10" fillId="0" borderId="8" xfId="0" applyFont="1" applyBorder="1" applyAlignment="1">
      <alignment horizontal="center"/>
    </xf>
    <xf numFmtId="38" fontId="3" fillId="0" borderId="8" xfId="1" applyNumberFormat="1" applyFont="1" applyBorder="1" applyProtection="1"/>
    <xf numFmtId="38" fontId="3" fillId="0" borderId="9" xfId="1" applyNumberFormat="1" applyFont="1" applyBorder="1"/>
    <xf numFmtId="164" fontId="6" fillId="0" borderId="0" xfId="0" applyFont="1" applyAlignment="1">
      <alignment horizontal="centerContinuous"/>
    </xf>
    <xf numFmtId="164" fontId="0" fillId="0" borderId="0" xfId="0" applyAlignment="1">
      <alignment horizontal="centerContinuous"/>
    </xf>
    <xf numFmtId="164" fontId="2" fillId="0" borderId="0" xfId="0" applyFont="1" applyAlignment="1">
      <alignment horizontal="centerContinuous"/>
    </xf>
    <xf numFmtId="164" fontId="4" fillId="0" borderId="10" xfId="0" applyFont="1" applyBorder="1" applyAlignment="1">
      <alignment horizontal="center"/>
    </xf>
    <xf numFmtId="164" fontId="13" fillId="0" borderId="10" xfId="0" applyFont="1" applyBorder="1"/>
    <xf numFmtId="38" fontId="3" fillId="0" borderId="11" xfId="1" applyNumberFormat="1" applyFont="1" applyBorder="1"/>
    <xf numFmtId="164" fontId="0" fillId="0" borderId="8" xfId="0" applyBorder="1"/>
    <xf numFmtId="164" fontId="3" fillId="0" borderId="3" xfId="0" applyFont="1" applyBorder="1" applyAlignment="1">
      <alignment horizontal="center"/>
    </xf>
    <xf numFmtId="164" fontId="3" fillId="0" borderId="6" xfId="0" applyFont="1" applyBorder="1" applyAlignment="1">
      <alignment horizontal="center"/>
    </xf>
    <xf numFmtId="164" fontId="4" fillId="0" borderId="6" xfId="0" applyFont="1" applyBorder="1" applyAlignment="1">
      <alignment horizontal="center"/>
    </xf>
    <xf numFmtId="38" fontId="4" fillId="0" borderId="2" xfId="1" applyNumberFormat="1" applyFont="1" applyBorder="1"/>
    <xf numFmtId="38" fontId="4" fillId="0" borderId="2" xfId="1" applyNumberFormat="1" applyFont="1" applyBorder="1" applyProtection="1"/>
    <xf numFmtId="164" fontId="0" fillId="0" borderId="9" xfId="0" applyBorder="1"/>
    <xf numFmtId="38" fontId="4" fillId="0" borderId="9" xfId="1" applyNumberFormat="1" applyFont="1" applyBorder="1"/>
    <xf numFmtId="38" fontId="3" fillId="0" borderId="12" xfId="1" applyNumberFormat="1" applyFont="1" applyBorder="1"/>
    <xf numFmtId="164" fontId="13" fillId="0" borderId="0" xfId="0" applyFont="1"/>
    <xf numFmtId="164" fontId="13" fillId="0" borderId="0" xfId="0" quotePrefix="1" applyFont="1"/>
    <xf numFmtId="164" fontId="2" fillId="0" borderId="0" xfId="0" quotePrefix="1" applyFont="1" applyAlignment="1">
      <alignment horizontal="centerContinuous"/>
    </xf>
    <xf numFmtId="164" fontId="15" fillId="0" borderId="0" xfId="0" quotePrefix="1" applyFont="1"/>
    <xf numFmtId="38" fontId="16" fillId="0" borderId="0" xfId="1" applyNumberFormat="1" applyFont="1"/>
    <xf numFmtId="164" fontId="3" fillId="0" borderId="13" xfId="0" applyFont="1" applyBorder="1" applyAlignment="1">
      <alignment horizontal="center"/>
    </xf>
    <xf numFmtId="164" fontId="17" fillId="0" borderId="3" xfId="0" applyFont="1" applyBorder="1" applyAlignment="1">
      <alignment horizontal="center"/>
    </xf>
    <xf numFmtId="164" fontId="5" fillId="0" borderId="0" xfId="0" applyFont="1" applyAlignment="1">
      <alignment horizontal="centerContinuous"/>
    </xf>
    <xf numFmtId="164" fontId="16" fillId="0" borderId="0" xfId="0" applyFont="1"/>
    <xf numFmtId="164" fontId="10" fillId="0" borderId="0" xfId="0" applyFont="1" applyBorder="1" applyAlignment="1">
      <alignment horizontal="center"/>
    </xf>
    <xf numFmtId="164" fontId="16" fillId="0" borderId="0" xfId="0" applyFont="1" applyAlignment="1">
      <alignment horizontal="centerContinuous"/>
    </xf>
    <xf numFmtId="164" fontId="18" fillId="0" borderId="0" xfId="0" applyFont="1"/>
    <xf numFmtId="164" fontId="19" fillId="0" borderId="0" xfId="0" applyFont="1"/>
    <xf numFmtId="38" fontId="16" fillId="0" borderId="15" xfId="1" applyNumberFormat="1" applyFont="1" applyBorder="1"/>
    <xf numFmtId="164" fontId="4" fillId="0" borderId="16" xfId="0" applyFont="1" applyBorder="1" applyAlignment="1">
      <alignment horizontal="center"/>
    </xf>
    <xf numFmtId="38" fontId="3" fillId="0" borderId="17" xfId="1" applyNumberFormat="1" applyFont="1" applyBorder="1"/>
    <xf numFmtId="164" fontId="4" fillId="0" borderId="0" xfId="0" applyFont="1" applyBorder="1" applyAlignment="1">
      <alignment horizontal="center"/>
    </xf>
    <xf numFmtId="164" fontId="21" fillId="0" borderId="10" xfId="0" applyFont="1" applyBorder="1"/>
    <xf numFmtId="164" fontId="4" fillId="0" borderId="18" xfId="0" applyFont="1" applyBorder="1" applyAlignment="1">
      <alignment horizontal="center"/>
    </xf>
    <xf numFmtId="164" fontId="4" fillId="0" borderId="19" xfId="0" applyFont="1" applyBorder="1" applyAlignment="1">
      <alignment horizontal="center"/>
    </xf>
    <xf numFmtId="164" fontId="16" fillId="0" borderId="20" xfId="0" applyFont="1" applyBorder="1"/>
    <xf numFmtId="164" fontId="0" fillId="0" borderId="21" xfId="0" applyBorder="1"/>
    <xf numFmtId="164" fontId="21" fillId="0" borderId="6" xfId="0" applyFont="1" applyBorder="1"/>
    <xf numFmtId="38" fontId="17" fillId="0" borderId="8" xfId="1" applyNumberFormat="1" applyFont="1" applyBorder="1"/>
    <xf numFmtId="10" fontId="4" fillId="0" borderId="0" xfId="3" applyNumberFormat="1" applyFont="1" applyProtection="1"/>
    <xf numFmtId="164" fontId="21" fillId="0" borderId="16" xfId="0" applyFont="1" applyBorder="1"/>
    <xf numFmtId="164" fontId="4" fillId="0" borderId="10" xfId="0" applyFont="1" applyBorder="1"/>
    <xf numFmtId="164" fontId="16" fillId="0" borderId="0" xfId="0" applyFont="1" applyBorder="1" applyAlignment="1">
      <alignment horizontal="center"/>
    </xf>
    <xf numFmtId="8" fontId="16" fillId="0" borderId="0" xfId="2" applyFont="1" applyBorder="1"/>
    <xf numFmtId="40" fontId="16" fillId="0" borderId="0" xfId="1" applyFont="1" applyBorder="1"/>
    <xf numFmtId="164" fontId="16" fillId="0" borderId="0" xfId="0" applyFont="1" applyBorder="1"/>
    <xf numFmtId="164" fontId="16" fillId="0" borderId="0" xfId="0" applyFont="1" applyBorder="1" applyAlignment="1">
      <alignment horizontal="centerContinuous"/>
    </xf>
    <xf numFmtId="164" fontId="20" fillId="0" borderId="0" xfId="0" applyFont="1" applyBorder="1" applyAlignment="1">
      <alignment horizontal="centerContinuous"/>
    </xf>
    <xf numFmtId="38" fontId="16" fillId="0" borderId="0" xfId="1" applyNumberFormat="1" applyFont="1" applyBorder="1"/>
    <xf numFmtId="8" fontId="16" fillId="0" borderId="0" xfId="2" applyNumberFormat="1" applyFont="1" applyBorder="1"/>
    <xf numFmtId="164" fontId="5" fillId="0" borderId="0" xfId="0" applyFont="1" applyBorder="1"/>
    <xf numFmtId="10" fontId="16" fillId="0" borderId="0" xfId="3" applyNumberFormat="1" applyFont="1" applyBorder="1"/>
    <xf numFmtId="164" fontId="4" fillId="0" borderId="0" xfId="0" applyFont="1" applyBorder="1"/>
    <xf numFmtId="10" fontId="5" fillId="0" borderId="0" xfId="3" applyNumberFormat="1" applyFont="1"/>
    <xf numFmtId="38" fontId="4" fillId="0" borderId="0" xfId="1" applyNumberFormat="1" applyFont="1" applyBorder="1"/>
    <xf numFmtId="38" fontId="17" fillId="0" borderId="11" xfId="1" applyNumberFormat="1" applyFont="1" applyBorder="1"/>
    <xf numFmtId="37" fontId="4" fillId="0" borderId="22" xfId="0" applyNumberFormat="1" applyFont="1" applyBorder="1" applyProtection="1"/>
    <xf numFmtId="164" fontId="4" fillId="0" borderId="22" xfId="0" applyFont="1" applyBorder="1"/>
    <xf numFmtId="10" fontId="4" fillId="0" borderId="0" xfId="3" applyNumberFormat="1" applyFont="1" applyBorder="1"/>
    <xf numFmtId="164" fontId="4" fillId="0" borderId="14" xfId="0" applyFont="1" applyBorder="1" applyAlignment="1">
      <alignment horizontal="center"/>
    </xf>
    <xf numFmtId="164" fontId="17" fillId="0" borderId="8" xfId="0" applyFont="1" applyBorder="1" applyAlignment="1">
      <alignment horizontal="center"/>
    </xf>
    <xf numFmtId="38" fontId="16" fillId="0" borderId="2" xfId="1" applyNumberFormat="1" applyFont="1" applyBorder="1" applyAlignment="1"/>
    <xf numFmtId="38" fontId="17" fillId="0" borderId="8" xfId="1" applyNumberFormat="1" applyFont="1" applyBorder="1" applyAlignment="1"/>
    <xf numFmtId="38" fontId="3" fillId="0" borderId="8" xfId="1" applyNumberFormat="1" applyFont="1" applyBorder="1" applyAlignment="1">
      <alignment horizontal="center"/>
    </xf>
    <xf numFmtId="37" fontId="4" fillId="0" borderId="0" xfId="0" applyNumberFormat="1" applyFont="1" applyBorder="1" applyProtection="1"/>
    <xf numFmtId="164" fontId="4" fillId="0" borderId="4" xfId="0" applyFont="1" applyBorder="1" applyAlignment="1">
      <alignment horizontal="center"/>
    </xf>
    <xf numFmtId="164" fontId="12" fillId="0" borderId="4" xfId="0" applyFont="1" applyBorder="1"/>
    <xf numFmtId="38" fontId="4" fillId="0" borderId="3" xfId="1" applyNumberFormat="1" applyFont="1" applyBorder="1"/>
    <xf numFmtId="38" fontId="4" fillId="0" borderId="3" xfId="1" applyNumberFormat="1" applyFont="1" applyBorder="1" applyProtection="1"/>
    <xf numFmtId="164" fontId="3" fillId="0" borderId="3" xfId="0" applyFont="1" applyBorder="1"/>
    <xf numFmtId="164" fontId="4" fillId="0" borderId="6" xfId="0" applyFont="1" applyBorder="1"/>
    <xf numFmtId="164" fontId="4" fillId="0" borderId="23" xfId="0" applyFont="1" applyBorder="1" applyAlignment="1">
      <alignment horizontal="center"/>
    </xf>
    <xf numFmtId="10" fontId="4" fillId="0" borderId="0" xfId="0" applyNumberFormat="1" applyFont="1" applyBorder="1" applyProtection="1"/>
    <xf numFmtId="164" fontId="17" fillId="0" borderId="0" xfId="0" applyFont="1" applyAlignment="1">
      <alignment horizontal="left"/>
    </xf>
    <xf numFmtId="164" fontId="21" fillId="0" borderId="0" xfId="0" applyFont="1"/>
    <xf numFmtId="38" fontId="17" fillId="0" borderId="15" xfId="1" applyNumberFormat="1" applyFont="1" applyBorder="1"/>
    <xf numFmtId="164" fontId="11" fillId="0" borderId="0" xfId="0" applyFont="1"/>
    <xf numFmtId="38" fontId="17" fillId="0" borderId="0" xfId="1" applyNumberFormat="1" applyFont="1" applyBorder="1"/>
    <xf numFmtId="164" fontId="3" fillId="0" borderId="0" xfId="0" applyFont="1"/>
    <xf numFmtId="37" fontId="3" fillId="0" borderId="6" xfId="0" applyNumberFormat="1" applyFont="1" applyBorder="1" applyProtection="1"/>
    <xf numFmtId="9" fontId="4" fillId="0" borderId="0" xfId="3" applyFont="1"/>
    <xf numFmtId="164" fontId="4" fillId="0" borderId="24" xfId="0" applyFont="1" applyBorder="1" applyAlignment="1">
      <alignment horizontal="center"/>
    </xf>
    <xf numFmtId="164" fontId="21" fillId="0" borderId="4" xfId="0" applyFont="1" applyBorder="1"/>
    <xf numFmtId="38" fontId="3" fillId="0" borderId="3" xfId="1" applyNumberFormat="1" applyFont="1" applyBorder="1" applyAlignment="1">
      <alignment horizontal="center"/>
    </xf>
    <xf numFmtId="38" fontId="17" fillId="0" borderId="3" xfId="1" applyNumberFormat="1" applyFont="1" applyBorder="1"/>
    <xf numFmtId="38" fontId="3" fillId="0" borderId="3" xfId="1" applyNumberFormat="1" applyFont="1" applyBorder="1"/>
    <xf numFmtId="164" fontId="3" fillId="0" borderId="25" xfId="0" applyFont="1" applyBorder="1" applyAlignment="1">
      <alignment horizontal="center"/>
    </xf>
    <xf numFmtId="38" fontId="3" fillId="0" borderId="1" xfId="1" applyNumberFormat="1" applyFont="1" applyBorder="1" applyAlignment="1">
      <alignment horizontal="center"/>
    </xf>
    <xf numFmtId="38" fontId="17" fillId="0" borderId="1" xfId="1" applyNumberFormat="1" applyFont="1" applyBorder="1"/>
    <xf numFmtId="164" fontId="4" fillId="0" borderId="26" xfId="0" applyFont="1" applyBorder="1" applyAlignment="1">
      <alignment horizontal="center"/>
    </xf>
    <xf numFmtId="164" fontId="21" fillId="0" borderId="13" xfId="0" applyFont="1" applyBorder="1"/>
    <xf numFmtId="38" fontId="3" fillId="0" borderId="1" xfId="1" applyNumberFormat="1" applyFont="1" applyBorder="1"/>
    <xf numFmtId="38" fontId="3" fillId="0" borderId="13" xfId="1" applyNumberFormat="1" applyFont="1" applyBorder="1"/>
    <xf numFmtId="38" fontId="3" fillId="0" borderId="19" xfId="1" applyNumberFormat="1" applyFont="1" applyBorder="1"/>
    <xf numFmtId="164" fontId="13" fillId="0" borderId="22" xfId="0" applyFont="1" applyBorder="1"/>
    <xf numFmtId="38" fontId="17" fillId="0" borderId="14" xfId="1" applyNumberFormat="1" applyFont="1" applyBorder="1" applyAlignment="1"/>
    <xf numFmtId="164" fontId="4" fillId="0" borderId="27" xfId="0" applyFont="1" applyBorder="1" applyAlignment="1">
      <alignment horizontal="center"/>
    </xf>
    <xf numFmtId="164" fontId="4" fillId="0" borderId="28" xfId="0" applyFont="1" applyBorder="1" applyAlignment="1">
      <alignment horizontal="center"/>
    </xf>
    <xf numFmtId="164" fontId="4" fillId="0" borderId="11" xfId="0" applyFont="1" applyBorder="1" applyAlignment="1">
      <alignment horizontal="center"/>
    </xf>
    <xf numFmtId="38" fontId="17" fillId="0" borderId="11" xfId="1" applyNumberFormat="1" applyFont="1" applyBorder="1" applyAlignment="1"/>
    <xf numFmtId="164" fontId="4" fillId="0" borderId="29" xfId="0" applyFont="1" applyBorder="1" applyAlignment="1">
      <alignment horizontal="center"/>
    </xf>
    <xf numFmtId="164" fontId="4" fillId="0" borderId="0" xfId="0" applyFont="1" applyFill="1" applyAlignment="1">
      <alignment horizontal="center"/>
    </xf>
    <xf numFmtId="164" fontId="13" fillId="0" borderId="0" xfId="0" applyFont="1" applyFill="1"/>
    <xf numFmtId="38" fontId="16" fillId="0" borderId="0" xfId="1" applyNumberFormat="1" applyFont="1" applyFill="1"/>
    <xf numFmtId="164" fontId="4" fillId="0" borderId="0" xfId="0" applyFont="1" applyFill="1"/>
    <xf numFmtId="164" fontId="4" fillId="0" borderId="0" xfId="0" applyFont="1" applyFill="1" applyBorder="1"/>
    <xf numFmtId="164" fontId="4" fillId="0" borderId="0" xfId="0" quotePrefix="1" applyFont="1" applyFill="1" applyAlignment="1">
      <alignment horizontal="center"/>
    </xf>
    <xf numFmtId="164" fontId="12" fillId="0" borderId="0" xfId="0" applyFont="1" applyFill="1"/>
    <xf numFmtId="38" fontId="16" fillId="0" borderId="4" xfId="1" applyNumberFormat="1" applyFont="1" applyFill="1" applyBorder="1"/>
    <xf numFmtId="38" fontId="4" fillId="0" borderId="0" xfId="1" applyNumberFormat="1" applyFont="1" applyFill="1"/>
    <xf numFmtId="37" fontId="4" fillId="0" borderId="0" xfId="0" applyNumberFormat="1" applyFont="1" applyFill="1" applyProtection="1"/>
    <xf numFmtId="10" fontId="4" fillId="0" borderId="0" xfId="0" applyNumberFormat="1" applyFont="1" applyFill="1" applyProtection="1"/>
    <xf numFmtId="164" fontId="11" fillId="0" borderId="0" xfId="0" applyFont="1" applyFill="1"/>
    <xf numFmtId="38" fontId="4" fillId="0" borderId="0" xfId="1" applyNumberFormat="1" applyFont="1" applyFill="1" applyProtection="1"/>
    <xf numFmtId="38" fontId="16" fillId="0" borderId="0" xfId="1" applyNumberFormat="1" applyFont="1" applyFill="1" applyBorder="1"/>
    <xf numFmtId="38" fontId="4" fillId="0" borderId="25" xfId="1" applyNumberFormat="1" applyFont="1" applyFill="1" applyBorder="1"/>
    <xf numFmtId="38" fontId="4" fillId="0" borderId="0" xfId="1" applyNumberFormat="1" applyFont="1"/>
    <xf numFmtId="164" fontId="21" fillId="0" borderId="0" xfId="0" applyFont="1" applyBorder="1"/>
    <xf numFmtId="38" fontId="4" fillId="0" borderId="1" xfId="1" applyNumberFormat="1" applyFont="1" applyBorder="1"/>
    <xf numFmtId="38" fontId="4" fillId="0" borderId="4" xfId="1" applyNumberFormat="1" applyFont="1" applyFill="1" applyBorder="1"/>
    <xf numFmtId="40" fontId="4" fillId="0" borderId="0" xfId="1" applyFont="1" applyFill="1" applyProtection="1"/>
    <xf numFmtId="164" fontId="23" fillId="0" borderId="0" xfId="0" applyFont="1"/>
    <xf numFmtId="164" fontId="24" fillId="0" borderId="0" xfId="0" applyFont="1"/>
    <xf numFmtId="165" fontId="23" fillId="0" borderId="4" xfId="0" applyNumberFormat="1" applyFont="1" applyBorder="1" applyAlignment="1">
      <alignment horizontal="center"/>
    </xf>
    <xf numFmtId="3" fontId="23" fillId="0" borderId="0" xfId="0" applyNumberFormat="1" applyFont="1" applyAlignment="1">
      <alignment horizontal="center"/>
    </xf>
    <xf numFmtId="38" fontId="4" fillId="0" borderId="0" xfId="1" applyNumberFormat="1" applyFont="1" applyBorder="1" applyProtection="1"/>
    <xf numFmtId="38" fontId="3" fillId="0" borderId="28" xfId="1" applyNumberFormat="1" applyFont="1" applyBorder="1"/>
    <xf numFmtId="38" fontId="3" fillId="0" borderId="30" xfId="1" applyNumberFormat="1" applyFont="1" applyBorder="1"/>
    <xf numFmtId="164" fontId="14" fillId="0" borderId="0" xfId="0" applyFont="1" applyBorder="1" applyAlignment="1">
      <alignment horizontal="center"/>
    </xf>
    <xf numFmtId="164" fontId="3" fillId="0" borderId="6" xfId="0" applyFont="1" applyBorder="1" applyAlignment="1">
      <alignment horizontal="left"/>
    </xf>
    <xf numFmtId="3" fontId="23" fillId="0" borderId="0" xfId="0" applyNumberFormat="1" applyFont="1" applyFill="1" applyAlignment="1">
      <alignment horizontal="center"/>
    </xf>
    <xf numFmtId="166" fontId="23" fillId="0" borderId="0" xfId="3" applyNumberFormat="1" applyFont="1"/>
    <xf numFmtId="164" fontId="24" fillId="0" borderId="0" xfId="0" applyFont="1" applyAlignment="1">
      <alignment horizontal="center"/>
    </xf>
    <xf numFmtId="164" fontId="9" fillId="0" borderId="0" xfId="0" applyFont="1" applyBorder="1" applyAlignment="1">
      <alignment horizontal="center"/>
    </xf>
  </cellXfs>
  <cellStyles count="5">
    <cellStyle name="Comma" xfId="1" builtinId="3"/>
    <cellStyle name="Comma 10" xfId="4" xr:uid="{00000000-0005-0000-0000-000001000000}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0</xdr:row>
          <xdr:rowOff>0</xdr:rowOff>
        </xdr:from>
        <xdr:to>
          <xdr:col>16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Helv"/>
                </a:rPr>
                <a:t>Print SSI and SSI-Related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ovr3s1\FISCALM.771\MEDICAL\Projects\2021%20Monthly\Monthly%20Reports\Eligibility%20Report\2021%20Eligibility%20Report%20Non-M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HWP Summary"/>
      <sheetName val="SUMMARY 21"/>
      <sheetName val="21"/>
      <sheetName val="TXIXEXP_TXXICHILDREN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workbookViewId="0">
      <selection activeCell="P13" sqref="P13"/>
    </sheetView>
  </sheetViews>
  <sheetFormatPr defaultColWidth="8.88671875" defaultRowHeight="15" x14ac:dyDescent="0.25"/>
  <cols>
    <col min="1" max="1" width="29" style="163" customWidth="1"/>
    <col min="2" max="16384" width="8.88671875" style="163"/>
  </cols>
  <sheetData>
    <row r="1" spans="1:13" x14ac:dyDescent="0.25">
      <c r="A1" s="174" t="s">
        <v>248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x14ac:dyDescent="0.25">
      <c r="A2" s="174" t="s">
        <v>249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4" spans="1:13" x14ac:dyDescent="0.25">
      <c r="A4" s="164" t="s">
        <v>250</v>
      </c>
    </row>
    <row r="5" spans="1:13" x14ac:dyDescent="0.25">
      <c r="B5" s="165">
        <v>44378</v>
      </c>
      <c r="C5" s="165">
        <v>44409</v>
      </c>
      <c r="D5" s="165">
        <v>44440</v>
      </c>
      <c r="E5" s="165">
        <v>44470</v>
      </c>
      <c r="F5" s="165">
        <v>44501</v>
      </c>
      <c r="G5" s="165">
        <v>44531</v>
      </c>
      <c r="H5" s="165">
        <v>44562</v>
      </c>
      <c r="I5" s="165">
        <v>44593</v>
      </c>
      <c r="J5" s="165">
        <v>44621</v>
      </c>
      <c r="K5" s="165">
        <v>44652</v>
      </c>
      <c r="L5" s="165">
        <v>44682</v>
      </c>
      <c r="M5" s="165">
        <v>44713</v>
      </c>
    </row>
    <row r="6" spans="1:13" x14ac:dyDescent="0.25">
      <c r="A6" s="163" t="s">
        <v>251</v>
      </c>
      <c r="B6" s="166">
        <f>'SUMMARY 22'!F155+'SUMMARY 22'!F156</f>
        <v>10721</v>
      </c>
      <c r="C6" s="166">
        <f>'SUMMARY 22'!G155+'SUMMARY 22'!G156</f>
        <v>10929</v>
      </c>
      <c r="D6" s="166">
        <f>'SUMMARY 22'!H155+'SUMMARY 22'!H156</f>
        <v>11048</v>
      </c>
      <c r="E6" s="166">
        <f>'SUMMARY 22'!I155+'SUMMARY 22'!I156</f>
        <v>11187</v>
      </c>
      <c r="F6" s="166">
        <f>'SUMMARY 22'!J155+'SUMMARY 22'!J156</f>
        <v>0</v>
      </c>
      <c r="G6" s="166">
        <f>'SUMMARY 22'!K155+'SUMMARY 22'!K156</f>
        <v>0</v>
      </c>
      <c r="H6" s="166">
        <f>'SUMMARY 22'!L155+'SUMMARY 22'!L156</f>
        <v>0</v>
      </c>
      <c r="I6" s="166">
        <f>'SUMMARY 22'!M155+'SUMMARY 22'!M156</f>
        <v>0</v>
      </c>
      <c r="J6" s="166">
        <f>'SUMMARY 22'!N155+'SUMMARY 22'!N156</f>
        <v>0</v>
      </c>
      <c r="K6" s="166">
        <f>'SUMMARY 22'!O155+'SUMMARY 22'!O156</f>
        <v>0</v>
      </c>
      <c r="L6" s="166">
        <f>'SUMMARY 22'!P155+'SUMMARY 22'!P156</f>
        <v>0</v>
      </c>
      <c r="M6" s="166">
        <f>'SUMMARY 22'!Q155+'SUMMARY 22'!Q156</f>
        <v>0</v>
      </c>
    </row>
    <row r="7" spans="1:13" x14ac:dyDescent="0.25">
      <c r="A7" s="163" t="s">
        <v>252</v>
      </c>
      <c r="B7" s="166">
        <v>0</v>
      </c>
      <c r="C7" s="166">
        <v>0</v>
      </c>
      <c r="D7" s="172">
        <v>0</v>
      </c>
      <c r="E7" s="166">
        <v>0</v>
      </c>
      <c r="F7" s="172"/>
      <c r="G7" s="166"/>
      <c r="H7" s="166"/>
      <c r="I7" s="166"/>
      <c r="J7" s="166"/>
      <c r="K7" s="166"/>
      <c r="L7" s="166"/>
      <c r="M7" s="172"/>
    </row>
    <row r="8" spans="1:13" x14ac:dyDescent="0.25">
      <c r="A8" s="163" t="s">
        <v>255</v>
      </c>
      <c r="B8" s="166">
        <f>B6-B7</f>
        <v>10721</v>
      </c>
      <c r="C8" s="166">
        <f t="shared" ref="C8:K8" si="0">C6-C7</f>
        <v>10929</v>
      </c>
      <c r="D8" s="166">
        <f t="shared" si="0"/>
        <v>11048</v>
      </c>
      <c r="E8" s="166">
        <f t="shared" si="0"/>
        <v>11187</v>
      </c>
      <c r="F8" s="166">
        <f t="shared" si="0"/>
        <v>0</v>
      </c>
      <c r="G8" s="166">
        <f t="shared" si="0"/>
        <v>0</v>
      </c>
      <c r="H8" s="166">
        <f t="shared" si="0"/>
        <v>0</v>
      </c>
      <c r="I8" s="166">
        <f t="shared" si="0"/>
        <v>0</v>
      </c>
      <c r="J8" s="166">
        <f t="shared" si="0"/>
        <v>0</v>
      </c>
      <c r="K8" s="166">
        <f t="shared" si="0"/>
        <v>0</v>
      </c>
      <c r="L8" s="166">
        <f>L6-L7</f>
        <v>0</v>
      </c>
      <c r="M8" s="166">
        <f>M6-M7</f>
        <v>0</v>
      </c>
    </row>
    <row r="10" spans="1:13" x14ac:dyDescent="0.25">
      <c r="A10" s="164" t="s">
        <v>253</v>
      </c>
    </row>
    <row r="11" spans="1:13" x14ac:dyDescent="0.25">
      <c r="B11" s="165">
        <v>44378</v>
      </c>
      <c r="C11" s="165">
        <v>44409</v>
      </c>
      <c r="D11" s="165">
        <v>44440</v>
      </c>
      <c r="E11" s="165">
        <v>44470</v>
      </c>
      <c r="F11" s="165">
        <v>44501</v>
      </c>
      <c r="G11" s="165">
        <v>44531</v>
      </c>
      <c r="H11" s="165">
        <v>44562</v>
      </c>
      <c r="I11" s="165">
        <v>44593</v>
      </c>
      <c r="J11" s="165">
        <v>44621</v>
      </c>
      <c r="K11" s="165">
        <v>44652</v>
      </c>
      <c r="L11" s="165">
        <v>44682</v>
      </c>
      <c r="M11" s="165">
        <v>44713</v>
      </c>
    </row>
    <row r="12" spans="1:13" x14ac:dyDescent="0.25">
      <c r="A12" s="163" t="s">
        <v>251</v>
      </c>
      <c r="B12" s="166">
        <f>'SUMMARY 22'!F155+'SUMMARY 22'!F156</f>
        <v>10721</v>
      </c>
      <c r="C12" s="166">
        <f>'SUMMARY 22'!G155+'SUMMARY 22'!G156</f>
        <v>10929</v>
      </c>
      <c r="D12" s="166">
        <f>'SUMMARY 22'!H155+'SUMMARY 22'!H156</f>
        <v>11048</v>
      </c>
      <c r="E12" s="166">
        <f>'SUMMARY 22'!I155+'SUMMARY 22'!I156</f>
        <v>11187</v>
      </c>
      <c r="F12" s="166">
        <f>'SUMMARY 22'!J155+'SUMMARY 22'!J156</f>
        <v>0</v>
      </c>
      <c r="G12" s="166">
        <f>'SUMMARY 22'!K155+'SUMMARY 22'!K156</f>
        <v>0</v>
      </c>
      <c r="H12" s="166">
        <f>'SUMMARY 22'!L155+'SUMMARY 22'!L156</f>
        <v>0</v>
      </c>
      <c r="I12" s="166">
        <f>'SUMMARY 22'!M155+'SUMMARY 22'!M156</f>
        <v>0</v>
      </c>
      <c r="J12" s="166">
        <f>'SUMMARY 22'!N155+'SUMMARY 22'!N156</f>
        <v>0</v>
      </c>
      <c r="K12" s="166">
        <f>'SUMMARY 22'!O155+'SUMMARY 22'!O156</f>
        <v>0</v>
      </c>
      <c r="L12" s="166">
        <f>'SUMMARY 22'!P155+'SUMMARY 22'!P156</f>
        <v>0</v>
      </c>
      <c r="M12" s="166">
        <f>'SUMMARY 22'!Q155+'SUMMARY 22'!Q156</f>
        <v>0</v>
      </c>
    </row>
    <row r="13" spans="1:13" x14ac:dyDescent="0.25">
      <c r="A13" s="163" t="s">
        <v>254</v>
      </c>
      <c r="B13" s="166">
        <f>B12-B14</f>
        <v>9153</v>
      </c>
      <c r="C13" s="166">
        <f t="shared" ref="C13:H13" si="1">C12-C14</f>
        <v>9302</v>
      </c>
      <c r="D13" s="166">
        <f t="shared" si="1"/>
        <v>9338</v>
      </c>
      <c r="E13" s="166">
        <f t="shared" si="1"/>
        <v>9399</v>
      </c>
      <c r="F13" s="166">
        <f t="shared" si="1"/>
        <v>0</v>
      </c>
      <c r="G13" s="166">
        <f t="shared" si="1"/>
        <v>0</v>
      </c>
      <c r="H13" s="166">
        <f t="shared" si="1"/>
        <v>0</v>
      </c>
      <c r="I13" s="166">
        <f>I12-I14</f>
        <v>0</v>
      </c>
      <c r="J13" s="166">
        <f>J12-J14</f>
        <v>0</v>
      </c>
      <c r="K13" s="166">
        <f>K12-K14</f>
        <v>0</v>
      </c>
      <c r="L13" s="166">
        <f>L12-L14</f>
        <v>0</v>
      </c>
      <c r="M13" s="166">
        <f>M12-M14</f>
        <v>0</v>
      </c>
    </row>
    <row r="14" spans="1:13" x14ac:dyDescent="0.25">
      <c r="A14" s="163" t="s">
        <v>256</v>
      </c>
      <c r="B14" s="166">
        <f>282+1286</f>
        <v>1568</v>
      </c>
      <c r="C14" s="166">
        <f>296+1331</f>
        <v>1627</v>
      </c>
      <c r="D14" s="166">
        <f>333+1377</f>
        <v>1710</v>
      </c>
      <c r="E14" s="166">
        <f>355+1433</f>
        <v>1788</v>
      </c>
      <c r="F14" s="166"/>
      <c r="G14" s="166"/>
      <c r="H14" s="166"/>
      <c r="I14" s="166"/>
      <c r="J14" s="166"/>
      <c r="K14" s="166"/>
      <c r="L14" s="166"/>
      <c r="M14" s="166"/>
    </row>
    <row r="16" spans="1:13" x14ac:dyDescent="0.25">
      <c r="B16" s="166">
        <f>B14-'[1]IHWP Summary'!$M$14</f>
        <v>63</v>
      </c>
      <c r="C16" s="163">
        <f>C14-B14</f>
        <v>59</v>
      </c>
      <c r="D16" s="163">
        <f t="shared" ref="D16:M16" si="2">D14-C14</f>
        <v>83</v>
      </c>
      <c r="E16" s="163">
        <f t="shared" si="2"/>
        <v>78</v>
      </c>
      <c r="F16" s="163">
        <f t="shared" si="2"/>
        <v>-1788</v>
      </c>
      <c r="G16" s="163">
        <f t="shared" si="2"/>
        <v>0</v>
      </c>
      <c r="H16" s="163">
        <f t="shared" si="2"/>
        <v>0</v>
      </c>
      <c r="I16" s="163">
        <f t="shared" si="2"/>
        <v>0</v>
      </c>
      <c r="J16" s="163">
        <f t="shared" si="2"/>
        <v>0</v>
      </c>
      <c r="K16" s="163">
        <f t="shared" si="2"/>
        <v>0</v>
      </c>
      <c r="L16" s="163">
        <f t="shared" si="2"/>
        <v>0</v>
      </c>
      <c r="M16" s="163">
        <f t="shared" si="2"/>
        <v>0</v>
      </c>
    </row>
    <row r="17" spans="2:13" x14ac:dyDescent="0.25">
      <c r="D17" s="166"/>
    </row>
    <row r="18" spans="2:13" x14ac:dyDescent="0.25">
      <c r="B18" s="173">
        <f>B14/B12</f>
        <v>0.14625501352485776</v>
      </c>
      <c r="C18" s="173">
        <f t="shared" ref="C18:H18" si="3">C14/C12</f>
        <v>0.14886997895507365</v>
      </c>
      <c r="D18" s="173">
        <f t="shared" si="3"/>
        <v>0.1547791455467053</v>
      </c>
      <c r="E18" s="173">
        <f t="shared" si="3"/>
        <v>0.15982837221775276</v>
      </c>
      <c r="F18" s="173" t="e">
        <f t="shared" si="3"/>
        <v>#DIV/0!</v>
      </c>
      <c r="G18" s="173" t="e">
        <f t="shared" si="3"/>
        <v>#DIV/0!</v>
      </c>
      <c r="H18" s="173" t="e">
        <f t="shared" si="3"/>
        <v>#DIV/0!</v>
      </c>
      <c r="I18" s="173" t="e">
        <f>I14/I12</f>
        <v>#DIV/0!</v>
      </c>
      <c r="J18" s="173" t="e">
        <f>J14/J12</f>
        <v>#DIV/0!</v>
      </c>
      <c r="K18" s="173" t="e">
        <f>K14/K12</f>
        <v>#DIV/0!</v>
      </c>
      <c r="L18" s="173" t="e">
        <f t="shared" ref="L18:M18" si="4">L14/L12</f>
        <v>#DIV/0!</v>
      </c>
      <c r="M18" s="173" t="e">
        <f t="shared" si="4"/>
        <v>#DIV/0!</v>
      </c>
    </row>
  </sheetData>
  <sheetProtection algorithmName="SHA-512" hashValue="ClA5UAFwZ7LodwdqQjVIoF8fVu9DaD6NH9Dir43rDiD6sIR65Y9i7G8vTXa3kqC3I6t9/hpj6RkrKgKS+kJowQ==" saltValue="L2506bnVG8R/Jr1acRIKuw==" spinCount="100000" sheet="1" objects="1" scenarios="1"/>
  <mergeCells count="2">
    <mergeCell ref="A1:M1"/>
    <mergeCell ref="A2:M2"/>
  </mergeCells>
  <printOptions horizontalCentered="1"/>
  <pageMargins left="0.25" right="0.25" top="0.75" bottom="0.75" header="0.3" footer="0.3"/>
  <pageSetup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AF197"/>
  <sheetViews>
    <sheetView showGridLines="0" zoomScale="115" zoomScaleNormal="115" workbookViewId="0">
      <pane xSplit="4" ySplit="4" topLeftCell="E172" activePane="bottomRight" state="frozen"/>
      <selection pane="topRight" activeCell="E1" sqref="E1"/>
      <selection pane="bottomLeft" activeCell="A4" sqref="A4"/>
      <selection pane="bottomRight" activeCell="S187" sqref="S187"/>
    </sheetView>
  </sheetViews>
  <sheetFormatPr defaultColWidth="9.77734375" defaultRowHeight="12.75" x14ac:dyDescent="0.2"/>
  <cols>
    <col min="1" max="1" width="2.5546875" style="4" customWidth="1"/>
    <col min="2" max="2" width="19.6640625" style="1" customWidth="1"/>
    <col min="3" max="3" width="4" style="4" customWidth="1"/>
    <col min="4" max="4" width="7.5546875" style="4" customWidth="1"/>
    <col min="5" max="5" width="8.33203125" style="4" bestFit="1" customWidth="1"/>
    <col min="6" max="6" width="9.109375" style="1" customWidth="1"/>
    <col min="7" max="7" width="9" style="1" customWidth="1"/>
    <col min="8" max="8" width="9.5546875" style="1" bestFit="1" customWidth="1"/>
    <col min="9" max="17" width="9.109375" style="1" customWidth="1"/>
    <col min="18" max="18" width="10.109375" style="1" customWidth="1"/>
    <col min="19" max="19" width="10.33203125" style="1" customWidth="1"/>
    <col min="20" max="23" width="10.109375" style="1" customWidth="1"/>
    <col min="24" max="24" width="11.44140625" style="1" customWidth="1"/>
    <col min="25" max="25" width="10.109375" style="1" customWidth="1"/>
    <col min="26" max="26" width="11.5546875" style="1" customWidth="1"/>
    <col min="27" max="27" width="10.109375" style="1" customWidth="1"/>
    <col min="28" max="28" width="11.5546875" style="1" customWidth="1"/>
    <col min="29" max="29" width="10.109375" style="1" customWidth="1"/>
    <col min="30" max="30" width="13.6640625" style="1" customWidth="1"/>
    <col min="31" max="32" width="9.6640625" style="1" customWidth="1"/>
    <col min="33" max="16384" width="9.77734375" style="1"/>
  </cols>
  <sheetData>
    <row r="1" spans="1:32" s="9" customFormat="1" ht="19.5" x14ac:dyDescent="0.35">
      <c r="A1" s="42" t="s">
        <v>261</v>
      </c>
      <c r="B1" s="43"/>
      <c r="C1" s="42"/>
      <c r="D1" s="42"/>
      <c r="E1" s="42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59"/>
      <c r="S1" s="59"/>
      <c r="T1" s="60" t="s">
        <v>115</v>
      </c>
      <c r="U1" s="31">
        <v>4</v>
      </c>
      <c r="AD1" s="10"/>
      <c r="AE1" s="10"/>
      <c r="AF1" s="10"/>
    </row>
    <row r="2" spans="1:32" s="9" customFormat="1" ht="19.5" x14ac:dyDescent="0.35">
      <c r="A2" s="42"/>
      <c r="B2" s="43"/>
      <c r="C2" s="42"/>
      <c r="D2" s="42"/>
      <c r="E2" s="42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59"/>
      <c r="S2" s="59"/>
      <c r="T2" s="60"/>
      <c r="U2" s="170"/>
      <c r="AD2" s="10"/>
      <c r="AE2" s="10"/>
      <c r="AF2" s="10"/>
    </row>
    <row r="3" spans="1:32" ht="14.25" customHeight="1" x14ac:dyDescent="0.25">
      <c r="B3" s="18"/>
      <c r="C3" s="26"/>
      <c r="D3" s="26"/>
      <c r="E3" s="26"/>
      <c r="F3" s="2"/>
      <c r="G3" s="2" t="s">
        <v>0</v>
      </c>
      <c r="H3" s="2"/>
      <c r="I3" s="2"/>
      <c r="J3" s="2"/>
      <c r="K3" s="2"/>
      <c r="L3" s="2"/>
      <c r="M3" s="2"/>
      <c r="N3" s="2"/>
      <c r="O3" s="2"/>
      <c r="P3" s="2"/>
      <c r="Q3" s="2"/>
      <c r="R3" s="11" t="s">
        <v>116</v>
      </c>
      <c r="S3" s="62" t="s">
        <v>170</v>
      </c>
      <c r="T3" s="2"/>
      <c r="U3" s="2"/>
      <c r="V3" s="2"/>
      <c r="W3" s="2"/>
      <c r="X3" s="2"/>
      <c r="Y3" s="2"/>
      <c r="Z3" s="2"/>
      <c r="AA3" s="2"/>
      <c r="AB3" s="2"/>
      <c r="AC3" s="2"/>
      <c r="AD3" s="3"/>
      <c r="AE3" s="3"/>
      <c r="AF3" s="3"/>
    </row>
    <row r="4" spans="1:32" x14ac:dyDescent="0.2">
      <c r="A4" s="29"/>
      <c r="B4" s="50" t="s">
        <v>117</v>
      </c>
      <c r="C4" s="51"/>
      <c r="D4" s="102" t="s">
        <v>169</v>
      </c>
      <c r="E4" s="50" t="s">
        <v>260</v>
      </c>
      <c r="F4" s="39" t="s">
        <v>1</v>
      </c>
      <c r="G4" s="39" t="s">
        <v>2</v>
      </c>
      <c r="H4" s="39" t="s">
        <v>3</v>
      </c>
      <c r="I4" s="39" t="s">
        <v>4</v>
      </c>
      <c r="J4" s="39" t="s">
        <v>5</v>
      </c>
      <c r="K4" s="39" t="s">
        <v>6</v>
      </c>
      <c r="L4" s="39" t="s">
        <v>7</v>
      </c>
      <c r="M4" s="39" t="s">
        <v>8</v>
      </c>
      <c r="N4" s="39" t="s">
        <v>9</v>
      </c>
      <c r="O4" s="39" t="s">
        <v>10</v>
      </c>
      <c r="P4" s="39" t="s">
        <v>11</v>
      </c>
      <c r="Q4" s="39" t="s">
        <v>12</v>
      </c>
      <c r="R4" s="63" t="s">
        <v>118</v>
      </c>
      <c r="S4" s="49" t="s">
        <v>263</v>
      </c>
    </row>
    <row r="5" spans="1:32" x14ac:dyDescent="0.2">
      <c r="A5" s="27" t="s">
        <v>41</v>
      </c>
      <c r="B5" s="19" t="s">
        <v>42</v>
      </c>
      <c r="C5" s="11" t="s">
        <v>13</v>
      </c>
      <c r="D5" s="37" t="s">
        <v>165</v>
      </c>
      <c r="E5" s="103">
        <v>79.583333333333329</v>
      </c>
      <c r="F5" s="52">
        <f>+'22'!D8</f>
        <v>70</v>
      </c>
      <c r="G5" s="52">
        <f>+'22'!E8</f>
        <v>82</v>
      </c>
      <c r="H5" s="52">
        <f>+'22'!F8</f>
        <v>80</v>
      </c>
      <c r="I5" s="52">
        <f>+'22'!G8</f>
        <v>93</v>
      </c>
      <c r="J5" s="52">
        <f>+'22'!H8</f>
        <v>0</v>
      </c>
      <c r="K5" s="52">
        <f>+'22'!I8</f>
        <v>0</v>
      </c>
      <c r="L5" s="52">
        <f>+'22'!J8</f>
        <v>0</v>
      </c>
      <c r="M5" s="52">
        <f>+'22'!K8</f>
        <v>0</v>
      </c>
      <c r="N5" s="52">
        <f>+'22'!L8</f>
        <v>0</v>
      </c>
      <c r="O5" s="52">
        <f>+'22'!M8</f>
        <v>0</v>
      </c>
      <c r="P5" s="52">
        <f>+'22'!N8</f>
        <v>0</v>
      </c>
      <c r="Q5" s="52">
        <f>+'22'!O8</f>
        <v>0</v>
      </c>
      <c r="R5" s="12">
        <f>SUM(F5:Q5)/_No_Mths.</f>
        <v>81.25</v>
      </c>
      <c r="S5" s="12">
        <f t="shared" ref="S5:S16" si="0">R5-E5</f>
        <v>1.6666666666666714</v>
      </c>
    </row>
    <row r="6" spans="1:32" x14ac:dyDescent="0.2">
      <c r="A6" s="27" t="s">
        <v>41</v>
      </c>
      <c r="B6" s="19" t="s">
        <v>43</v>
      </c>
      <c r="C6" s="37" t="s">
        <v>13</v>
      </c>
      <c r="D6" s="37" t="s">
        <v>166</v>
      </c>
      <c r="E6" s="103">
        <v>0</v>
      </c>
      <c r="F6" s="52">
        <f>+'22'!D9</f>
        <v>0</v>
      </c>
      <c r="G6" s="52">
        <f>+'22'!E9</f>
        <v>0</v>
      </c>
      <c r="H6" s="52">
        <f>+'22'!F9</f>
        <v>0</v>
      </c>
      <c r="I6" s="52">
        <f>+'22'!G9</f>
        <v>0</v>
      </c>
      <c r="J6" s="52">
        <f>+'22'!H9</f>
        <v>0</v>
      </c>
      <c r="K6" s="52">
        <f>+'22'!I9</f>
        <v>0</v>
      </c>
      <c r="L6" s="52">
        <f>+'22'!J9</f>
        <v>0</v>
      </c>
      <c r="M6" s="52">
        <f>+'22'!K9</f>
        <v>0</v>
      </c>
      <c r="N6" s="52">
        <f>+'22'!L9</f>
        <v>0</v>
      </c>
      <c r="O6" s="52">
        <f>+'22'!M9</f>
        <v>0</v>
      </c>
      <c r="P6" s="52">
        <f>+'22'!N9</f>
        <v>0</v>
      </c>
      <c r="Q6" s="52">
        <f>+'22'!O9</f>
        <v>0</v>
      </c>
      <c r="R6" s="12">
        <f t="shared" ref="R6:R16" si="1">SUM(F6:Q6)/_No_Mths.</f>
        <v>0</v>
      </c>
      <c r="S6" s="12">
        <f t="shared" si="0"/>
        <v>0</v>
      </c>
    </row>
    <row r="7" spans="1:32" x14ac:dyDescent="0.2">
      <c r="A7" s="27" t="s">
        <v>41</v>
      </c>
      <c r="B7" s="19" t="s">
        <v>44</v>
      </c>
      <c r="C7" s="37" t="s">
        <v>13</v>
      </c>
      <c r="D7" s="37" t="s">
        <v>166</v>
      </c>
      <c r="E7" s="103">
        <v>753.41666666666663</v>
      </c>
      <c r="F7" s="52">
        <f>+'22'!D10</f>
        <v>802</v>
      </c>
      <c r="G7" s="52">
        <f>+'22'!E10</f>
        <v>841</v>
      </c>
      <c r="H7" s="52">
        <f>+'22'!F10</f>
        <v>867</v>
      </c>
      <c r="I7" s="52">
        <f>+'22'!G10</f>
        <v>863</v>
      </c>
      <c r="J7" s="52">
        <f>+'22'!H10</f>
        <v>0</v>
      </c>
      <c r="K7" s="52">
        <f>+'22'!I10</f>
        <v>0</v>
      </c>
      <c r="L7" s="52">
        <f>+'22'!J10</f>
        <v>0</v>
      </c>
      <c r="M7" s="52">
        <f>+'22'!K10</f>
        <v>0</v>
      </c>
      <c r="N7" s="52">
        <f>+'22'!L10</f>
        <v>0</v>
      </c>
      <c r="O7" s="52">
        <f>+'22'!M10</f>
        <v>0</v>
      </c>
      <c r="P7" s="52">
        <f>+'22'!N10</f>
        <v>0</v>
      </c>
      <c r="Q7" s="52">
        <f>+'22'!O10</f>
        <v>0</v>
      </c>
      <c r="R7" s="12">
        <f t="shared" si="1"/>
        <v>843.25</v>
      </c>
      <c r="S7" s="12">
        <f t="shared" si="0"/>
        <v>89.833333333333371</v>
      </c>
    </row>
    <row r="8" spans="1:32" x14ac:dyDescent="0.2">
      <c r="A8" s="27" t="s">
        <v>41</v>
      </c>
      <c r="B8" s="19" t="s">
        <v>58</v>
      </c>
      <c r="C8" s="37" t="s">
        <v>13</v>
      </c>
      <c r="D8" s="37" t="s">
        <v>165</v>
      </c>
      <c r="E8" s="103">
        <v>5.75</v>
      </c>
      <c r="F8" s="52">
        <f>+'22'!D24</f>
        <v>4</v>
      </c>
      <c r="G8" s="52">
        <f>+'22'!E24</f>
        <v>5</v>
      </c>
      <c r="H8" s="52">
        <f>+'22'!F24</f>
        <v>5</v>
      </c>
      <c r="I8" s="52">
        <f>+'22'!G24</f>
        <v>8</v>
      </c>
      <c r="J8" s="52">
        <f>+'22'!H24</f>
        <v>0</v>
      </c>
      <c r="K8" s="52">
        <f>+'22'!I24</f>
        <v>0</v>
      </c>
      <c r="L8" s="52">
        <f>+'22'!J24</f>
        <v>0</v>
      </c>
      <c r="M8" s="52">
        <f>+'22'!K24</f>
        <v>0</v>
      </c>
      <c r="N8" s="52">
        <f>+'22'!L24</f>
        <v>0</v>
      </c>
      <c r="O8" s="52">
        <f>+'22'!M24</f>
        <v>0</v>
      </c>
      <c r="P8" s="52">
        <f>+'22'!N24</f>
        <v>0</v>
      </c>
      <c r="Q8" s="52">
        <f>+'22'!O24</f>
        <v>0</v>
      </c>
      <c r="R8" s="12">
        <f t="shared" si="1"/>
        <v>5.5</v>
      </c>
      <c r="S8" s="12">
        <f t="shared" si="0"/>
        <v>-0.25</v>
      </c>
    </row>
    <row r="9" spans="1:32" x14ac:dyDescent="0.2">
      <c r="A9" s="27" t="s">
        <v>41</v>
      </c>
      <c r="B9" s="19" t="s">
        <v>59</v>
      </c>
      <c r="C9" s="37" t="s">
        <v>13</v>
      </c>
      <c r="D9" s="37" t="s">
        <v>166</v>
      </c>
      <c r="E9" s="103">
        <v>0</v>
      </c>
      <c r="F9" s="52">
        <f>+'22'!D25</f>
        <v>0</v>
      </c>
      <c r="G9" s="52">
        <f>+'22'!E25</f>
        <v>0</v>
      </c>
      <c r="H9" s="52">
        <f>+'22'!F25</f>
        <v>0</v>
      </c>
      <c r="I9" s="52">
        <f>+'22'!G25</f>
        <v>0</v>
      </c>
      <c r="J9" s="52">
        <f>+'22'!H25</f>
        <v>0</v>
      </c>
      <c r="K9" s="52">
        <f>+'22'!I25</f>
        <v>0</v>
      </c>
      <c r="L9" s="52">
        <f>+'22'!J25</f>
        <v>0</v>
      </c>
      <c r="M9" s="52">
        <f>+'22'!K25</f>
        <v>0</v>
      </c>
      <c r="N9" s="52">
        <f>+'22'!L25</f>
        <v>0</v>
      </c>
      <c r="O9" s="52">
        <f>+'22'!M25</f>
        <v>0</v>
      </c>
      <c r="P9" s="52">
        <f>+'22'!N25</f>
        <v>0</v>
      </c>
      <c r="Q9" s="52">
        <f>+'22'!O25</f>
        <v>0</v>
      </c>
      <c r="R9" s="12">
        <f t="shared" si="1"/>
        <v>0</v>
      </c>
      <c r="S9" s="12">
        <f t="shared" si="0"/>
        <v>0</v>
      </c>
    </row>
    <row r="10" spans="1:32" x14ac:dyDescent="0.2">
      <c r="A10" s="27" t="s">
        <v>41</v>
      </c>
      <c r="B10" s="19" t="s">
        <v>60</v>
      </c>
      <c r="C10" s="37" t="s">
        <v>13</v>
      </c>
      <c r="D10" s="37" t="s">
        <v>166</v>
      </c>
      <c r="E10" s="103">
        <v>22.416666666666668</v>
      </c>
      <c r="F10" s="52">
        <f>+'22'!D26</f>
        <v>18</v>
      </c>
      <c r="G10" s="52">
        <f>+'22'!E26</f>
        <v>20</v>
      </c>
      <c r="H10" s="52">
        <f>+'22'!F26</f>
        <v>19</v>
      </c>
      <c r="I10" s="52">
        <f>+'22'!G26</f>
        <v>17</v>
      </c>
      <c r="J10" s="52">
        <f>+'22'!H26</f>
        <v>0</v>
      </c>
      <c r="K10" s="52">
        <f>+'22'!I26</f>
        <v>0</v>
      </c>
      <c r="L10" s="52">
        <f>+'22'!J26</f>
        <v>0</v>
      </c>
      <c r="M10" s="52">
        <f>+'22'!K26</f>
        <v>0</v>
      </c>
      <c r="N10" s="52">
        <f>+'22'!L26</f>
        <v>0</v>
      </c>
      <c r="O10" s="52">
        <f>+'22'!M26</f>
        <v>0</v>
      </c>
      <c r="P10" s="52">
        <f>+'22'!N26</f>
        <v>0</v>
      </c>
      <c r="Q10" s="52">
        <f>+'22'!O26</f>
        <v>0</v>
      </c>
      <c r="R10" s="12">
        <f t="shared" si="1"/>
        <v>18.5</v>
      </c>
      <c r="S10" s="12">
        <f t="shared" si="0"/>
        <v>-3.9166666666666679</v>
      </c>
    </row>
    <row r="11" spans="1:32" x14ac:dyDescent="0.2">
      <c r="B11" s="19" t="s">
        <v>62</v>
      </c>
      <c r="C11" s="37" t="s">
        <v>13</v>
      </c>
      <c r="D11" s="37" t="s">
        <v>165</v>
      </c>
      <c r="E11" s="103">
        <v>16.25</v>
      </c>
      <c r="F11" s="52">
        <f>+'22'!D29</f>
        <v>13</v>
      </c>
      <c r="G11" s="52">
        <f>+'22'!E29</f>
        <v>14</v>
      </c>
      <c r="H11" s="52">
        <f>+'22'!F29</f>
        <v>13</v>
      </c>
      <c r="I11" s="52">
        <f>+'22'!G29</f>
        <v>17</v>
      </c>
      <c r="J11" s="52">
        <f>+'22'!H29</f>
        <v>0</v>
      </c>
      <c r="K11" s="52">
        <f>+'22'!I29</f>
        <v>0</v>
      </c>
      <c r="L11" s="52">
        <f>+'22'!J29</f>
        <v>0</v>
      </c>
      <c r="M11" s="52">
        <f>+'22'!K29</f>
        <v>0</v>
      </c>
      <c r="N11" s="52">
        <f>+'22'!L29</f>
        <v>0</v>
      </c>
      <c r="O11" s="52">
        <f>+'22'!M29</f>
        <v>0</v>
      </c>
      <c r="P11" s="52">
        <f>+'22'!N29</f>
        <v>0</v>
      </c>
      <c r="Q11" s="52">
        <f>+'22'!O29</f>
        <v>0</v>
      </c>
      <c r="R11" s="12">
        <f t="shared" si="1"/>
        <v>14.25</v>
      </c>
      <c r="S11" s="12">
        <f t="shared" si="0"/>
        <v>-2</v>
      </c>
    </row>
    <row r="12" spans="1:32" x14ac:dyDescent="0.2">
      <c r="B12" s="19" t="s">
        <v>73</v>
      </c>
      <c r="C12" s="37" t="s">
        <v>13</v>
      </c>
      <c r="D12" s="37" t="s">
        <v>165</v>
      </c>
      <c r="E12" s="103">
        <v>99.666666666666671</v>
      </c>
      <c r="F12" s="52">
        <f>+'22'!D46</f>
        <v>135</v>
      </c>
      <c r="G12" s="52">
        <f>+'22'!E46</f>
        <v>141</v>
      </c>
      <c r="H12" s="52">
        <f>+'22'!F46</f>
        <v>143</v>
      </c>
      <c r="I12" s="52">
        <f>+'22'!G46</f>
        <v>159</v>
      </c>
      <c r="J12" s="52">
        <f>+'22'!H46</f>
        <v>0</v>
      </c>
      <c r="K12" s="52">
        <f>+'22'!I46</f>
        <v>0</v>
      </c>
      <c r="L12" s="52">
        <f>+'22'!J46</f>
        <v>0</v>
      </c>
      <c r="M12" s="52">
        <f>+'22'!K46</f>
        <v>0</v>
      </c>
      <c r="N12" s="52">
        <f>+'22'!L46</f>
        <v>0</v>
      </c>
      <c r="O12" s="52">
        <f>+'22'!M46</f>
        <v>0</v>
      </c>
      <c r="P12" s="52">
        <f>+'22'!N46</f>
        <v>0</v>
      </c>
      <c r="Q12" s="52">
        <f>+'22'!O46</f>
        <v>0</v>
      </c>
      <c r="R12" s="12">
        <f t="shared" si="1"/>
        <v>144.5</v>
      </c>
      <c r="S12" s="12">
        <f t="shared" si="0"/>
        <v>44.833333333333329</v>
      </c>
    </row>
    <row r="13" spans="1:32" x14ac:dyDescent="0.2">
      <c r="B13" s="19" t="s">
        <v>74</v>
      </c>
      <c r="C13" s="37" t="s">
        <v>13</v>
      </c>
      <c r="D13" s="37" t="s">
        <v>166</v>
      </c>
      <c r="E13" s="103">
        <v>0</v>
      </c>
      <c r="F13" s="52">
        <f>+'22'!D47</f>
        <v>0</v>
      </c>
      <c r="G13" s="52">
        <f>+'22'!E47</f>
        <v>0</v>
      </c>
      <c r="H13" s="52">
        <f>+'22'!F47</f>
        <v>0</v>
      </c>
      <c r="I13" s="52">
        <f>+'22'!G47</f>
        <v>0</v>
      </c>
      <c r="J13" s="52">
        <f>+'22'!H47</f>
        <v>0</v>
      </c>
      <c r="K13" s="52">
        <f>+'22'!I47</f>
        <v>0</v>
      </c>
      <c r="L13" s="52">
        <f>+'22'!J47</f>
        <v>0</v>
      </c>
      <c r="M13" s="52">
        <f>+'22'!K47</f>
        <v>0</v>
      </c>
      <c r="N13" s="52">
        <f>+'22'!L47</f>
        <v>0</v>
      </c>
      <c r="O13" s="52">
        <f>+'22'!M47</f>
        <v>0</v>
      </c>
      <c r="P13" s="52">
        <f>+'22'!N47</f>
        <v>0</v>
      </c>
      <c r="Q13" s="52">
        <f>+'22'!O47</f>
        <v>0</v>
      </c>
      <c r="R13" s="12">
        <f t="shared" si="1"/>
        <v>0</v>
      </c>
      <c r="S13" s="12">
        <f t="shared" si="0"/>
        <v>0</v>
      </c>
    </row>
    <row r="14" spans="1:32" x14ac:dyDescent="0.2">
      <c r="B14" s="19" t="s">
        <v>160</v>
      </c>
      <c r="C14" s="37" t="s">
        <v>13</v>
      </c>
      <c r="D14" s="37" t="s">
        <v>166</v>
      </c>
      <c r="E14" s="103">
        <v>129.58333333333334</v>
      </c>
      <c r="F14" s="52">
        <f>'22'!D57</f>
        <v>128</v>
      </c>
      <c r="G14" s="52">
        <f>'22'!E57</f>
        <v>140</v>
      </c>
      <c r="H14" s="52">
        <f>'22'!F57</f>
        <v>133</v>
      </c>
      <c r="I14" s="52">
        <f>'22'!G57</f>
        <v>127</v>
      </c>
      <c r="J14" s="52">
        <f>'22'!H57</f>
        <v>0</v>
      </c>
      <c r="K14" s="52">
        <f>'22'!I57</f>
        <v>0</v>
      </c>
      <c r="L14" s="52">
        <f>'22'!J57</f>
        <v>0</v>
      </c>
      <c r="M14" s="52">
        <f>'22'!K57</f>
        <v>0</v>
      </c>
      <c r="N14" s="52">
        <f>'22'!L57</f>
        <v>0</v>
      </c>
      <c r="O14" s="52">
        <f>'22'!M57</f>
        <v>0</v>
      </c>
      <c r="P14" s="52">
        <f>'22'!N57</f>
        <v>0</v>
      </c>
      <c r="Q14" s="52">
        <f>'22'!O57</f>
        <v>0</v>
      </c>
      <c r="R14" s="12">
        <f t="shared" si="1"/>
        <v>132</v>
      </c>
      <c r="S14" s="12">
        <f t="shared" si="0"/>
        <v>2.4166666666666572</v>
      </c>
    </row>
    <row r="15" spans="1:32" x14ac:dyDescent="0.2">
      <c r="B15" s="19" t="s">
        <v>186</v>
      </c>
      <c r="C15" s="37" t="s">
        <v>13</v>
      </c>
      <c r="D15" s="37" t="s">
        <v>166</v>
      </c>
      <c r="E15" s="103">
        <v>7.833333333333333</v>
      </c>
      <c r="F15" s="52">
        <f>'22'!D97</f>
        <v>5</v>
      </c>
      <c r="G15" s="52">
        <f>'22'!E97</f>
        <v>6</v>
      </c>
      <c r="H15" s="52">
        <f>'22'!F97</f>
        <v>7</v>
      </c>
      <c r="I15" s="52">
        <f>'22'!G97</f>
        <v>8</v>
      </c>
      <c r="J15" s="52">
        <f>'22'!H97</f>
        <v>0</v>
      </c>
      <c r="K15" s="52">
        <f>'22'!I97</f>
        <v>0</v>
      </c>
      <c r="L15" s="52">
        <f>'22'!J97</f>
        <v>0</v>
      </c>
      <c r="M15" s="52">
        <f>'22'!K97</f>
        <v>0</v>
      </c>
      <c r="N15" s="52">
        <f>'22'!L97</f>
        <v>0</v>
      </c>
      <c r="O15" s="52">
        <f>'22'!M97</f>
        <v>0</v>
      </c>
      <c r="P15" s="52">
        <f>'22'!N97</f>
        <v>0</v>
      </c>
      <c r="Q15" s="52">
        <f>'22'!O97</f>
        <v>0</v>
      </c>
      <c r="R15" s="12">
        <f t="shared" si="1"/>
        <v>6.5</v>
      </c>
      <c r="S15" s="12">
        <f t="shared" si="0"/>
        <v>-1.333333333333333</v>
      </c>
    </row>
    <row r="16" spans="1:32" x14ac:dyDescent="0.2">
      <c r="B16" s="19" t="s">
        <v>75</v>
      </c>
      <c r="C16" s="37" t="s">
        <v>13</v>
      </c>
      <c r="D16" s="37" t="s">
        <v>166</v>
      </c>
      <c r="E16" s="103">
        <v>133.91666666666666</v>
      </c>
      <c r="F16" s="52">
        <f>+'22'!D48</f>
        <v>138</v>
      </c>
      <c r="G16" s="52">
        <f>+'22'!E48</f>
        <v>134</v>
      </c>
      <c r="H16" s="52">
        <f>+'22'!F48</f>
        <v>140</v>
      </c>
      <c r="I16" s="52">
        <f>+'22'!G48</f>
        <v>142</v>
      </c>
      <c r="J16" s="52">
        <f>+'22'!H48</f>
        <v>0</v>
      </c>
      <c r="K16" s="52">
        <f>+'22'!I48</f>
        <v>0</v>
      </c>
      <c r="L16" s="52">
        <f>+'22'!J48</f>
        <v>0</v>
      </c>
      <c r="M16" s="52">
        <f>+'22'!K48</f>
        <v>0</v>
      </c>
      <c r="N16" s="52">
        <f>+'22'!L48</f>
        <v>0</v>
      </c>
      <c r="O16" s="52">
        <f>+'22'!M48</f>
        <v>0</v>
      </c>
      <c r="P16" s="52">
        <f>+'22'!N48</f>
        <v>0</v>
      </c>
      <c r="Q16" s="52">
        <f>+'22'!O48</f>
        <v>0</v>
      </c>
      <c r="R16" s="12">
        <f t="shared" si="1"/>
        <v>138.5</v>
      </c>
      <c r="S16" s="12">
        <f t="shared" si="0"/>
        <v>4.5833333333333428</v>
      </c>
    </row>
    <row r="17" spans="1:19" x14ac:dyDescent="0.2">
      <c r="A17" s="29"/>
      <c r="B17" s="28" t="s">
        <v>119</v>
      </c>
      <c r="C17" s="38"/>
      <c r="D17" s="38"/>
      <c r="E17" s="30">
        <v>1248.4166666666667</v>
      </c>
      <c r="F17" s="30">
        <f>SUM(F5:F16)</f>
        <v>1313</v>
      </c>
      <c r="G17" s="30">
        <f t="shared" ref="G17:M17" si="2">SUM(G5:G16)</f>
        <v>1383</v>
      </c>
      <c r="H17" s="30">
        <f>SUM(H5:H16)</f>
        <v>1407</v>
      </c>
      <c r="I17" s="30">
        <f>SUM(I5:I16)</f>
        <v>1434</v>
      </c>
      <c r="J17" s="30">
        <f t="shared" si="2"/>
        <v>0</v>
      </c>
      <c r="K17" s="30">
        <f t="shared" si="2"/>
        <v>0</v>
      </c>
      <c r="L17" s="30">
        <f t="shared" si="2"/>
        <v>0</v>
      </c>
      <c r="M17" s="30">
        <f t="shared" si="2"/>
        <v>0</v>
      </c>
      <c r="N17" s="30">
        <f>SUM(N5:N16)</f>
        <v>0</v>
      </c>
      <c r="O17" s="30">
        <f t="shared" ref="O17:Q17" si="3">SUM(O5:O16)</f>
        <v>0</v>
      </c>
      <c r="P17" s="30">
        <f t="shared" si="3"/>
        <v>0</v>
      </c>
      <c r="Q17" s="30">
        <f t="shared" si="3"/>
        <v>0</v>
      </c>
      <c r="R17" s="30">
        <f>SUM(F17:Q17)/_No_Mths.</f>
        <v>1384.25</v>
      </c>
      <c r="S17" s="30">
        <f>SUM(S5:S16)</f>
        <v>135.83333333333334</v>
      </c>
    </row>
    <row r="18" spans="1:19" ht="4.5" customHeight="1" x14ac:dyDescent="0.2">
      <c r="B18" s="19"/>
      <c r="C18" s="37"/>
      <c r="D18" s="37"/>
      <c r="E18" s="37"/>
      <c r="F18" s="52"/>
      <c r="G18" s="53"/>
      <c r="H18" s="53"/>
      <c r="I18" s="53"/>
      <c r="J18" s="53"/>
      <c r="K18" s="52"/>
      <c r="L18" s="52"/>
      <c r="M18" s="52"/>
      <c r="N18" s="52"/>
      <c r="O18" s="52"/>
      <c r="P18" s="52"/>
      <c r="Q18" s="52"/>
      <c r="R18" s="13"/>
      <c r="S18" s="13"/>
    </row>
    <row r="19" spans="1:19" x14ac:dyDescent="0.2">
      <c r="A19" s="29"/>
      <c r="B19" s="33" t="s">
        <v>120</v>
      </c>
      <c r="C19" s="38" t="s">
        <v>23</v>
      </c>
      <c r="D19" s="38"/>
      <c r="E19" s="104">
        <v>225.5</v>
      </c>
      <c r="F19" s="30">
        <f>+'22'!D102</f>
        <v>290</v>
      </c>
      <c r="G19" s="30">
        <f>+'22'!E102</f>
        <v>286</v>
      </c>
      <c r="H19" s="30">
        <f>+'22'!F102</f>
        <v>285</v>
      </c>
      <c r="I19" s="30">
        <f>+'22'!G102</f>
        <v>288</v>
      </c>
      <c r="J19" s="30">
        <f>+'22'!H102</f>
        <v>0</v>
      </c>
      <c r="K19" s="30">
        <f>+'22'!I102</f>
        <v>0</v>
      </c>
      <c r="L19" s="30">
        <f>+'22'!J102</f>
        <v>0</v>
      </c>
      <c r="M19" s="30">
        <f>+'22'!K102</f>
        <v>0</v>
      </c>
      <c r="N19" s="30">
        <f>+'22'!L102</f>
        <v>0</v>
      </c>
      <c r="O19" s="30">
        <f>+'22'!M102</f>
        <v>0</v>
      </c>
      <c r="P19" s="30">
        <f>+'22'!N102</f>
        <v>0</v>
      </c>
      <c r="Q19" s="30">
        <f>+'22'!O102</f>
        <v>0</v>
      </c>
      <c r="R19" s="30">
        <f>SUM(F19:Q19)/_No_Mths.</f>
        <v>287.25</v>
      </c>
      <c r="S19" s="30">
        <f>R19-E19</f>
        <v>61.75</v>
      </c>
    </row>
    <row r="20" spans="1:19" ht="4.5" customHeight="1" x14ac:dyDescent="0.2">
      <c r="B20" s="19"/>
      <c r="C20" s="37"/>
      <c r="D20" s="37"/>
      <c r="E20" s="37"/>
      <c r="F20" s="52"/>
      <c r="G20" s="53"/>
      <c r="H20" s="53"/>
      <c r="I20" s="52"/>
      <c r="J20" s="52"/>
      <c r="K20" s="52"/>
      <c r="L20" s="52"/>
      <c r="M20" s="52"/>
      <c r="N20" s="52"/>
      <c r="O20" s="52"/>
      <c r="P20" s="52"/>
      <c r="Q20" s="52"/>
      <c r="R20" s="13"/>
      <c r="S20" s="13"/>
    </row>
    <row r="21" spans="1:19" x14ac:dyDescent="0.2">
      <c r="A21" s="27" t="s">
        <v>41</v>
      </c>
      <c r="B21" s="19" t="s">
        <v>45</v>
      </c>
      <c r="C21" s="37" t="s">
        <v>14</v>
      </c>
      <c r="D21" s="37" t="s">
        <v>167</v>
      </c>
      <c r="E21" s="52">
        <v>0</v>
      </c>
      <c r="F21" s="52">
        <f>+'22'!D11</f>
        <v>0</v>
      </c>
      <c r="G21" s="52">
        <f>+'22'!E11</f>
        <v>0</v>
      </c>
      <c r="H21" s="52">
        <f>+'22'!F11</f>
        <v>0</v>
      </c>
      <c r="I21" s="52">
        <f>+'22'!G11</f>
        <v>0</v>
      </c>
      <c r="J21" s="52">
        <f>+'22'!H11</f>
        <v>0</v>
      </c>
      <c r="K21" s="52">
        <f>+'22'!I11</f>
        <v>0</v>
      </c>
      <c r="L21" s="52">
        <f>+'22'!J11</f>
        <v>0</v>
      </c>
      <c r="M21" s="52">
        <f>+'22'!K11</f>
        <v>0</v>
      </c>
      <c r="N21" s="52">
        <f>+'22'!L11</f>
        <v>0</v>
      </c>
      <c r="O21" s="52">
        <f>+'22'!M11</f>
        <v>0</v>
      </c>
      <c r="P21" s="52">
        <f>+'22'!N11</f>
        <v>0</v>
      </c>
      <c r="Q21" s="52">
        <f>+'22'!O11</f>
        <v>0</v>
      </c>
      <c r="R21" s="12">
        <f t="shared" ref="R21:R28" si="4">SUM(F21:Q21)/_No_Mths.</f>
        <v>0</v>
      </c>
      <c r="S21" s="12">
        <f t="shared" ref="S21:S28" si="5">R21-E21</f>
        <v>0</v>
      </c>
    </row>
    <row r="22" spans="1:19" x14ac:dyDescent="0.2">
      <c r="A22" s="27" t="s">
        <v>41</v>
      </c>
      <c r="B22" s="19" t="s">
        <v>46</v>
      </c>
      <c r="C22" s="37" t="s">
        <v>14</v>
      </c>
      <c r="D22" s="37" t="s">
        <v>168</v>
      </c>
      <c r="E22" s="52">
        <v>0</v>
      </c>
      <c r="F22" s="52">
        <f>+'22'!D12</f>
        <v>0</v>
      </c>
      <c r="G22" s="52">
        <f>+'22'!E12</f>
        <v>0</v>
      </c>
      <c r="H22" s="52">
        <f>+'22'!F12</f>
        <v>0</v>
      </c>
      <c r="I22" s="52">
        <f>+'22'!G12</f>
        <v>0</v>
      </c>
      <c r="J22" s="52">
        <f>+'22'!H12</f>
        <v>0</v>
      </c>
      <c r="K22" s="52">
        <f>+'22'!I12</f>
        <v>0</v>
      </c>
      <c r="L22" s="52">
        <f>+'22'!J12</f>
        <v>0</v>
      </c>
      <c r="M22" s="52">
        <f>+'22'!K12</f>
        <v>0</v>
      </c>
      <c r="N22" s="52">
        <f>+'22'!L12</f>
        <v>0</v>
      </c>
      <c r="O22" s="52">
        <f>+'22'!M12</f>
        <v>0</v>
      </c>
      <c r="P22" s="52">
        <f>+'22'!N12</f>
        <v>0</v>
      </c>
      <c r="Q22" s="52">
        <f>+'22'!O12</f>
        <v>0</v>
      </c>
      <c r="R22" s="12">
        <f t="shared" si="4"/>
        <v>0</v>
      </c>
      <c r="S22" s="12">
        <f t="shared" si="5"/>
        <v>0</v>
      </c>
    </row>
    <row r="23" spans="1:19" x14ac:dyDescent="0.2">
      <c r="B23" s="19" t="s">
        <v>46</v>
      </c>
      <c r="C23" s="37" t="s">
        <v>14</v>
      </c>
      <c r="D23" s="37" t="s">
        <v>168</v>
      </c>
      <c r="E23" s="52">
        <v>339.41666666666669</v>
      </c>
      <c r="F23" s="52">
        <f>+'22'!D35</f>
        <v>377</v>
      </c>
      <c r="G23" s="52">
        <f>+'22'!E35</f>
        <v>383</v>
      </c>
      <c r="H23" s="52">
        <f>+'22'!F35</f>
        <v>375</v>
      </c>
      <c r="I23" s="52">
        <f>+'22'!G35</f>
        <v>388</v>
      </c>
      <c r="J23" s="52">
        <f>+'22'!H35</f>
        <v>0</v>
      </c>
      <c r="K23" s="52">
        <f>+'22'!I35</f>
        <v>0</v>
      </c>
      <c r="L23" s="52">
        <f>+'22'!J35</f>
        <v>0</v>
      </c>
      <c r="M23" s="52">
        <f>+'22'!K35</f>
        <v>0</v>
      </c>
      <c r="N23" s="52">
        <f>+'22'!L35</f>
        <v>0</v>
      </c>
      <c r="O23" s="52">
        <f>+'22'!M35</f>
        <v>0</v>
      </c>
      <c r="P23" s="52">
        <f>+'22'!N35</f>
        <v>0</v>
      </c>
      <c r="Q23" s="52">
        <f>+'22'!O35</f>
        <v>0</v>
      </c>
      <c r="R23" s="12">
        <f t="shared" si="4"/>
        <v>380.75</v>
      </c>
      <c r="S23" s="12">
        <f t="shared" si="5"/>
        <v>41.333333333333314</v>
      </c>
    </row>
    <row r="24" spans="1:19" x14ac:dyDescent="0.2">
      <c r="B24" s="19" t="s">
        <v>45</v>
      </c>
      <c r="C24" s="37" t="s">
        <v>14</v>
      </c>
      <c r="D24" s="37" t="s">
        <v>167</v>
      </c>
      <c r="E24" s="52">
        <v>290.75</v>
      </c>
      <c r="F24" s="52">
        <f>+'22'!D39</f>
        <v>319</v>
      </c>
      <c r="G24" s="52">
        <f>+'22'!E39</f>
        <v>320</v>
      </c>
      <c r="H24" s="52">
        <f>+'22'!F39</f>
        <v>315</v>
      </c>
      <c r="I24" s="52">
        <f>+'22'!G39</f>
        <v>324</v>
      </c>
      <c r="J24" s="52">
        <f>+'22'!H39</f>
        <v>0</v>
      </c>
      <c r="K24" s="52">
        <f>+'22'!I39</f>
        <v>0</v>
      </c>
      <c r="L24" s="52">
        <f>+'22'!J39</f>
        <v>0</v>
      </c>
      <c r="M24" s="52">
        <f>+'22'!K39</f>
        <v>0</v>
      </c>
      <c r="N24" s="52">
        <f>+'22'!L39</f>
        <v>0</v>
      </c>
      <c r="O24" s="52">
        <f>+'22'!M39</f>
        <v>0</v>
      </c>
      <c r="P24" s="52">
        <f>+'22'!N39</f>
        <v>0</v>
      </c>
      <c r="Q24" s="52">
        <f>+'22'!O39</f>
        <v>0</v>
      </c>
      <c r="R24" s="12">
        <f t="shared" si="4"/>
        <v>319.5</v>
      </c>
      <c r="S24" s="12">
        <f t="shared" si="5"/>
        <v>28.75</v>
      </c>
    </row>
    <row r="25" spans="1:19" x14ac:dyDescent="0.2">
      <c r="B25" s="19" t="s">
        <v>69</v>
      </c>
      <c r="C25" s="37" t="s">
        <v>14</v>
      </c>
      <c r="D25" s="37" t="s">
        <v>167</v>
      </c>
      <c r="E25" s="52">
        <v>1674.25</v>
      </c>
      <c r="F25" s="52">
        <f>+'22'!D42</f>
        <v>2001</v>
      </c>
      <c r="G25" s="52">
        <f>+'22'!E42</f>
        <v>2050</v>
      </c>
      <c r="H25" s="52">
        <f>+'22'!F42</f>
        <v>2058</v>
      </c>
      <c r="I25" s="52">
        <f>+'22'!G42</f>
        <v>2114</v>
      </c>
      <c r="J25" s="52">
        <f>+'22'!H42</f>
        <v>0</v>
      </c>
      <c r="K25" s="52">
        <f>+'22'!I42</f>
        <v>0</v>
      </c>
      <c r="L25" s="52">
        <f>+'22'!J42</f>
        <v>0</v>
      </c>
      <c r="M25" s="52">
        <f>+'22'!K42</f>
        <v>0</v>
      </c>
      <c r="N25" s="52">
        <f>+'22'!L42</f>
        <v>0</v>
      </c>
      <c r="O25" s="52">
        <f>+'22'!M42</f>
        <v>0</v>
      </c>
      <c r="P25" s="52">
        <f>+'22'!N42</f>
        <v>0</v>
      </c>
      <c r="Q25" s="52">
        <f>+'22'!O42</f>
        <v>0</v>
      </c>
      <c r="R25" s="12">
        <f t="shared" si="4"/>
        <v>2055.75</v>
      </c>
      <c r="S25" s="12">
        <f t="shared" si="5"/>
        <v>381.5</v>
      </c>
    </row>
    <row r="26" spans="1:19" x14ac:dyDescent="0.2">
      <c r="B26" s="19" t="s">
        <v>70</v>
      </c>
      <c r="C26" s="37" t="s">
        <v>14</v>
      </c>
      <c r="D26" s="37" t="s">
        <v>168</v>
      </c>
      <c r="E26" s="52">
        <v>1425.75</v>
      </c>
      <c r="F26" s="52">
        <f>+'22'!D43</f>
        <v>1466</v>
      </c>
      <c r="G26" s="52">
        <f>+'22'!E43</f>
        <v>1479</v>
      </c>
      <c r="H26" s="52">
        <f>+'22'!F43</f>
        <v>1473</v>
      </c>
      <c r="I26" s="52">
        <f>+'22'!G43</f>
        <v>1462</v>
      </c>
      <c r="J26" s="52">
        <f>+'22'!H43</f>
        <v>0</v>
      </c>
      <c r="K26" s="52">
        <f>+'22'!I43</f>
        <v>0</v>
      </c>
      <c r="L26" s="52">
        <f>+'22'!J43</f>
        <v>0</v>
      </c>
      <c r="M26" s="52">
        <f>+'22'!K43</f>
        <v>0</v>
      </c>
      <c r="N26" s="52">
        <f>+'22'!L43</f>
        <v>0</v>
      </c>
      <c r="O26" s="52">
        <f>+'22'!M43</f>
        <v>0</v>
      </c>
      <c r="P26" s="52">
        <f>+'22'!N43</f>
        <v>0</v>
      </c>
      <c r="Q26" s="52">
        <f>+'22'!O43</f>
        <v>0</v>
      </c>
      <c r="R26" s="12">
        <f t="shared" si="4"/>
        <v>1470</v>
      </c>
      <c r="S26" s="12">
        <f t="shared" si="5"/>
        <v>44.25</v>
      </c>
    </row>
    <row r="27" spans="1:19" x14ac:dyDescent="0.2">
      <c r="B27" s="19" t="s">
        <v>76</v>
      </c>
      <c r="C27" s="37" t="s">
        <v>14</v>
      </c>
      <c r="D27" s="37" t="s">
        <v>168</v>
      </c>
      <c r="E27" s="52">
        <v>0</v>
      </c>
      <c r="F27" s="52">
        <f>+'22'!D27</f>
        <v>0</v>
      </c>
      <c r="G27" s="52">
        <f>+'22'!E27</f>
        <v>0</v>
      </c>
      <c r="H27" s="52">
        <f>+'22'!F27</f>
        <v>0</v>
      </c>
      <c r="I27" s="52">
        <f>+'22'!G27</f>
        <v>0</v>
      </c>
      <c r="J27" s="52">
        <f>+'22'!H27</f>
        <v>0</v>
      </c>
      <c r="K27" s="52">
        <f>+'22'!I27</f>
        <v>0</v>
      </c>
      <c r="L27" s="52">
        <f>+'22'!J27</f>
        <v>0</v>
      </c>
      <c r="M27" s="52">
        <f>+'22'!K27</f>
        <v>0</v>
      </c>
      <c r="N27" s="52">
        <f>+'22'!L27</f>
        <v>0</v>
      </c>
      <c r="O27" s="52">
        <f>+'22'!M27</f>
        <v>0</v>
      </c>
      <c r="P27" s="52">
        <f>+'22'!N27</f>
        <v>0</v>
      </c>
      <c r="Q27" s="52">
        <f>+'22'!O27</f>
        <v>0</v>
      </c>
      <c r="R27" s="12">
        <f t="shared" si="4"/>
        <v>0</v>
      </c>
      <c r="S27" s="12">
        <f t="shared" si="5"/>
        <v>0</v>
      </c>
    </row>
    <row r="28" spans="1:19" x14ac:dyDescent="0.2">
      <c r="B28" s="19" t="s">
        <v>213</v>
      </c>
      <c r="C28" s="37" t="s">
        <v>14</v>
      </c>
      <c r="D28" s="37" t="s">
        <v>167</v>
      </c>
      <c r="E28" s="52">
        <v>49.25</v>
      </c>
      <c r="F28" s="52">
        <f>'22'!D7</f>
        <v>64</v>
      </c>
      <c r="G28" s="52">
        <f>'22'!E7</f>
        <v>60</v>
      </c>
      <c r="H28" s="52">
        <f>'22'!F7</f>
        <v>58</v>
      </c>
      <c r="I28" s="52">
        <f>'22'!G7</f>
        <v>47</v>
      </c>
      <c r="J28" s="52">
        <f>'22'!H7</f>
        <v>0</v>
      </c>
      <c r="K28" s="52">
        <f>'22'!I7</f>
        <v>0</v>
      </c>
      <c r="L28" s="52">
        <f>'22'!J7</f>
        <v>0</v>
      </c>
      <c r="M28" s="52">
        <f>'22'!K7</f>
        <v>0</v>
      </c>
      <c r="N28" s="52">
        <f>'22'!L7</f>
        <v>0</v>
      </c>
      <c r="O28" s="52">
        <f>'22'!M7</f>
        <v>0</v>
      </c>
      <c r="P28" s="52">
        <f>'22'!N7</f>
        <v>0</v>
      </c>
      <c r="Q28" s="52">
        <f>'22'!O7</f>
        <v>0</v>
      </c>
      <c r="R28" s="12">
        <f t="shared" si="4"/>
        <v>57.25</v>
      </c>
      <c r="S28" s="12">
        <f t="shared" si="5"/>
        <v>8</v>
      </c>
    </row>
    <row r="29" spans="1:19" x14ac:dyDescent="0.2">
      <c r="A29" s="29"/>
      <c r="B29" s="28" t="s">
        <v>121</v>
      </c>
      <c r="C29" s="38"/>
      <c r="D29" s="38"/>
      <c r="E29" s="30">
        <v>3779.416666666667</v>
      </c>
      <c r="F29" s="30">
        <f t="shared" ref="F29:S29" si="6">SUM(F21:F28)</f>
        <v>4227</v>
      </c>
      <c r="G29" s="30">
        <f t="shared" si="6"/>
        <v>4292</v>
      </c>
      <c r="H29" s="30">
        <f t="shared" si="6"/>
        <v>4279</v>
      </c>
      <c r="I29" s="30">
        <f t="shared" si="6"/>
        <v>4335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6"/>
        <v>0</v>
      </c>
      <c r="O29" s="30">
        <f t="shared" si="6"/>
        <v>0</v>
      </c>
      <c r="P29" s="30">
        <f t="shared" si="6"/>
        <v>0</v>
      </c>
      <c r="Q29" s="30">
        <f t="shared" si="6"/>
        <v>0</v>
      </c>
      <c r="R29" s="30">
        <f t="shared" si="6"/>
        <v>4283.25</v>
      </c>
      <c r="S29" s="30">
        <f t="shared" si="6"/>
        <v>503.83333333333331</v>
      </c>
    </row>
    <row r="30" spans="1:19" ht="6" customHeight="1" x14ac:dyDescent="0.2">
      <c r="B30" s="19"/>
      <c r="C30" s="37"/>
      <c r="D30" s="37"/>
      <c r="E30" s="37"/>
      <c r="F30" s="52"/>
      <c r="G30" s="53"/>
      <c r="H30" s="53"/>
      <c r="I30" s="52"/>
      <c r="J30" s="52"/>
      <c r="K30" s="52"/>
      <c r="L30" s="52"/>
      <c r="M30" s="52"/>
      <c r="N30" s="52"/>
      <c r="O30" s="52"/>
      <c r="P30" s="52"/>
      <c r="Q30" s="52"/>
      <c r="R30" s="13"/>
      <c r="S30" s="13"/>
    </row>
    <row r="31" spans="1:19" x14ac:dyDescent="0.2">
      <c r="A31" s="34" t="s">
        <v>41</v>
      </c>
      <c r="B31" s="33" t="s">
        <v>49</v>
      </c>
      <c r="C31" s="38" t="s">
        <v>15</v>
      </c>
      <c r="D31" s="105" t="s">
        <v>166</v>
      </c>
      <c r="E31" s="30">
        <v>0.91666666666666663</v>
      </c>
      <c r="F31" s="30">
        <f>+'22'!D15</f>
        <v>0</v>
      </c>
      <c r="G31" s="30">
        <f>+'22'!E15</f>
        <v>0</v>
      </c>
      <c r="H31" s="30">
        <f>+'22'!F15</f>
        <v>0</v>
      </c>
      <c r="I31" s="30">
        <f>+'22'!G15</f>
        <v>0</v>
      </c>
      <c r="J31" s="30">
        <f>+'22'!H15</f>
        <v>0</v>
      </c>
      <c r="K31" s="30">
        <f>+'22'!I15</f>
        <v>0</v>
      </c>
      <c r="L31" s="30">
        <f>+'22'!J15</f>
        <v>0</v>
      </c>
      <c r="M31" s="30">
        <f>+'22'!K15</f>
        <v>0</v>
      </c>
      <c r="N31" s="30">
        <f>+'22'!L15</f>
        <v>0</v>
      </c>
      <c r="O31" s="30">
        <f>+'22'!M15</f>
        <v>0</v>
      </c>
      <c r="P31" s="30">
        <f>+'22'!N15</f>
        <v>0</v>
      </c>
      <c r="Q31" s="30">
        <f>+'22'!O15</f>
        <v>0</v>
      </c>
      <c r="R31" s="30">
        <f>SUM(F31:Q31)/_No_Mths.</f>
        <v>0</v>
      </c>
      <c r="S31" s="30">
        <f>R31-E31</f>
        <v>-0.91666666666666663</v>
      </c>
    </row>
    <row r="32" spans="1:19" ht="5.25" customHeight="1" x14ac:dyDescent="0.2">
      <c r="A32" s="27"/>
      <c r="B32" s="19"/>
      <c r="C32" s="37"/>
      <c r="D32" s="37"/>
      <c r="E32" s="52"/>
      <c r="F32" s="52"/>
      <c r="G32" s="53"/>
      <c r="H32" s="53"/>
      <c r="I32" s="53"/>
      <c r="J32" s="53"/>
      <c r="K32" s="52"/>
      <c r="L32" s="52"/>
      <c r="M32" s="52"/>
      <c r="N32" s="52"/>
      <c r="O32" s="52"/>
      <c r="P32" s="52"/>
      <c r="Q32" s="52"/>
      <c r="R32" s="13"/>
      <c r="S32" s="13"/>
    </row>
    <row r="33" spans="1:19" x14ac:dyDescent="0.2">
      <c r="A33" s="27" t="s">
        <v>41</v>
      </c>
      <c r="B33" s="19" t="s">
        <v>50</v>
      </c>
      <c r="C33" s="37" t="s">
        <v>16</v>
      </c>
      <c r="D33" s="37" t="s">
        <v>168</v>
      </c>
      <c r="E33" s="52">
        <v>0</v>
      </c>
      <c r="F33" s="52">
        <f>+'22'!D16</f>
        <v>0</v>
      </c>
      <c r="G33" s="52">
        <f>+'22'!E16</f>
        <v>0</v>
      </c>
      <c r="H33" s="52">
        <f>+'22'!F16</f>
        <v>0</v>
      </c>
      <c r="I33" s="52">
        <f>+'22'!G16</f>
        <v>0</v>
      </c>
      <c r="J33" s="52">
        <f>+'22'!H16</f>
        <v>0</v>
      </c>
      <c r="K33" s="52">
        <f>+'22'!I16</f>
        <v>0</v>
      </c>
      <c r="L33" s="52">
        <f>+'22'!J16</f>
        <v>0</v>
      </c>
      <c r="M33" s="52">
        <f>+'22'!K16</f>
        <v>0</v>
      </c>
      <c r="N33" s="52">
        <f>+'22'!L16</f>
        <v>0</v>
      </c>
      <c r="O33" s="52">
        <f>+'22'!M16</f>
        <v>0</v>
      </c>
      <c r="P33" s="52">
        <f>+'22'!N16</f>
        <v>0</v>
      </c>
      <c r="Q33" s="52">
        <f>+'22'!O16</f>
        <v>0</v>
      </c>
      <c r="R33" s="12">
        <f t="shared" ref="R33:R44" si="7">SUM(F33:Q33)/_No_Mths.</f>
        <v>0</v>
      </c>
      <c r="S33" s="12">
        <f t="shared" ref="S33:S44" si="8">R33-E33</f>
        <v>0</v>
      </c>
    </row>
    <row r="34" spans="1:19" x14ac:dyDescent="0.2">
      <c r="A34" s="27" t="s">
        <v>41</v>
      </c>
      <c r="B34" s="19" t="s">
        <v>51</v>
      </c>
      <c r="C34" s="37" t="s">
        <v>16</v>
      </c>
      <c r="D34" s="37" t="s">
        <v>168</v>
      </c>
      <c r="E34" s="52">
        <v>35.5</v>
      </c>
      <c r="F34" s="52">
        <f>+'22'!D17</f>
        <v>34</v>
      </c>
      <c r="G34" s="52">
        <f>+'22'!E17</f>
        <v>29</v>
      </c>
      <c r="H34" s="52">
        <f>+'22'!F17</f>
        <v>27</v>
      </c>
      <c r="I34" s="52">
        <f>+'22'!G17</f>
        <v>30</v>
      </c>
      <c r="J34" s="52">
        <f>+'22'!H17</f>
        <v>0</v>
      </c>
      <c r="K34" s="52">
        <f>+'22'!I17</f>
        <v>0</v>
      </c>
      <c r="L34" s="52">
        <f>+'22'!J17</f>
        <v>0</v>
      </c>
      <c r="M34" s="52">
        <f>+'22'!K17</f>
        <v>0</v>
      </c>
      <c r="N34" s="52">
        <f>+'22'!L17</f>
        <v>0</v>
      </c>
      <c r="O34" s="52">
        <f>+'22'!M17</f>
        <v>0</v>
      </c>
      <c r="P34" s="52">
        <f>+'22'!N17</f>
        <v>0</v>
      </c>
      <c r="Q34" s="52">
        <f>+'22'!O17</f>
        <v>0</v>
      </c>
      <c r="R34" s="12">
        <f t="shared" si="7"/>
        <v>30</v>
      </c>
      <c r="S34" s="12">
        <f t="shared" si="8"/>
        <v>-5.5</v>
      </c>
    </row>
    <row r="35" spans="1:19" x14ac:dyDescent="0.2">
      <c r="A35" s="27" t="s">
        <v>41</v>
      </c>
      <c r="B35" s="19" t="s">
        <v>52</v>
      </c>
      <c r="C35" s="37" t="s">
        <v>16</v>
      </c>
      <c r="D35" s="37" t="s">
        <v>168</v>
      </c>
      <c r="E35" s="52">
        <v>5</v>
      </c>
      <c r="F35" s="52">
        <f>+'22'!D18</f>
        <v>5</v>
      </c>
      <c r="G35" s="52">
        <f>+'22'!E18</f>
        <v>5</v>
      </c>
      <c r="H35" s="52">
        <f>+'22'!F18</f>
        <v>3</v>
      </c>
      <c r="I35" s="52">
        <f>+'22'!G18</f>
        <v>3</v>
      </c>
      <c r="J35" s="52">
        <f>+'22'!H18</f>
        <v>0</v>
      </c>
      <c r="K35" s="52">
        <f>+'22'!I18</f>
        <v>0</v>
      </c>
      <c r="L35" s="52">
        <f>+'22'!J18</f>
        <v>0</v>
      </c>
      <c r="M35" s="52">
        <f>+'22'!K18</f>
        <v>0</v>
      </c>
      <c r="N35" s="52">
        <f>+'22'!L18</f>
        <v>0</v>
      </c>
      <c r="O35" s="52">
        <f>+'22'!M18</f>
        <v>0</v>
      </c>
      <c r="P35" s="52">
        <f>+'22'!N18</f>
        <v>0</v>
      </c>
      <c r="Q35" s="52">
        <f>+'22'!O18</f>
        <v>0</v>
      </c>
      <c r="R35" s="12">
        <f t="shared" si="7"/>
        <v>4</v>
      </c>
      <c r="S35" s="12">
        <f t="shared" si="8"/>
        <v>-1</v>
      </c>
    </row>
    <row r="36" spans="1:19" x14ac:dyDescent="0.2">
      <c r="A36" s="27" t="s">
        <v>41</v>
      </c>
      <c r="B36" s="19" t="s">
        <v>53</v>
      </c>
      <c r="C36" s="37" t="s">
        <v>16</v>
      </c>
      <c r="D36" s="37" t="s">
        <v>168</v>
      </c>
      <c r="E36" s="52">
        <v>0</v>
      </c>
      <c r="F36" s="52">
        <f>+'22'!D19</f>
        <v>0</v>
      </c>
      <c r="G36" s="52">
        <f>+'22'!E19</f>
        <v>0</v>
      </c>
      <c r="H36" s="52">
        <f>+'22'!F19</f>
        <v>0</v>
      </c>
      <c r="I36" s="52">
        <f>+'22'!G19</f>
        <v>0</v>
      </c>
      <c r="J36" s="52">
        <f>+'22'!H19</f>
        <v>0</v>
      </c>
      <c r="K36" s="52">
        <f>+'22'!I19</f>
        <v>0</v>
      </c>
      <c r="L36" s="52">
        <f>+'22'!J19</f>
        <v>0</v>
      </c>
      <c r="M36" s="52">
        <f>+'22'!K19</f>
        <v>0</v>
      </c>
      <c r="N36" s="52">
        <f>+'22'!L19</f>
        <v>0</v>
      </c>
      <c r="O36" s="52">
        <f>+'22'!M19</f>
        <v>0</v>
      </c>
      <c r="P36" s="52">
        <f>+'22'!N19</f>
        <v>0</v>
      </c>
      <c r="Q36" s="52">
        <f>+'22'!O19</f>
        <v>0</v>
      </c>
      <c r="R36" s="12">
        <f t="shared" si="7"/>
        <v>0</v>
      </c>
      <c r="S36" s="12">
        <f t="shared" si="8"/>
        <v>0</v>
      </c>
    </row>
    <row r="37" spans="1:19" x14ac:dyDescent="0.2">
      <c r="A37" s="27" t="s">
        <v>41</v>
      </c>
      <c r="B37" s="19" t="s">
        <v>54</v>
      </c>
      <c r="C37" s="37" t="s">
        <v>16</v>
      </c>
      <c r="D37" s="37" t="s">
        <v>168</v>
      </c>
      <c r="E37" s="52">
        <v>0</v>
      </c>
      <c r="F37" s="52">
        <f>+'22'!D20</f>
        <v>0</v>
      </c>
      <c r="G37" s="52">
        <f>+'22'!E20</f>
        <v>0</v>
      </c>
      <c r="H37" s="52">
        <f>+'22'!F20</f>
        <v>0</v>
      </c>
      <c r="I37" s="52">
        <f>+'22'!G20</f>
        <v>0</v>
      </c>
      <c r="J37" s="52">
        <f>+'22'!H20</f>
        <v>0</v>
      </c>
      <c r="K37" s="52">
        <f>+'22'!I20</f>
        <v>0</v>
      </c>
      <c r="L37" s="52">
        <f>+'22'!J20</f>
        <v>0</v>
      </c>
      <c r="M37" s="52">
        <f>+'22'!K20</f>
        <v>0</v>
      </c>
      <c r="N37" s="52">
        <f>+'22'!L20</f>
        <v>0</v>
      </c>
      <c r="O37" s="52">
        <f>+'22'!M20</f>
        <v>0</v>
      </c>
      <c r="P37" s="52">
        <f>+'22'!N20</f>
        <v>0</v>
      </c>
      <c r="Q37" s="52">
        <f>+'22'!O20</f>
        <v>0</v>
      </c>
      <c r="R37" s="12">
        <f t="shared" si="7"/>
        <v>0</v>
      </c>
      <c r="S37" s="12">
        <f t="shared" si="8"/>
        <v>0</v>
      </c>
    </row>
    <row r="38" spans="1:19" x14ac:dyDescent="0.2">
      <c r="A38" s="27" t="s">
        <v>41</v>
      </c>
      <c r="B38" s="19" t="s">
        <v>57</v>
      </c>
      <c r="C38" s="37" t="s">
        <v>16</v>
      </c>
      <c r="D38" s="37" t="s">
        <v>168</v>
      </c>
      <c r="E38" s="52">
        <v>0</v>
      </c>
      <c r="F38" s="52">
        <f>+'22'!D23</f>
        <v>0</v>
      </c>
      <c r="G38" s="52">
        <f>+'22'!E23</f>
        <v>0</v>
      </c>
      <c r="H38" s="52">
        <f>+'22'!F23</f>
        <v>0</v>
      </c>
      <c r="I38" s="52">
        <f>+'22'!G23</f>
        <v>0</v>
      </c>
      <c r="J38" s="52">
        <f>+'22'!H23</f>
        <v>0</v>
      </c>
      <c r="K38" s="52">
        <f>+'22'!I23</f>
        <v>0</v>
      </c>
      <c r="L38" s="52">
        <f>+'22'!J23</f>
        <v>0</v>
      </c>
      <c r="M38" s="52">
        <f>+'22'!K23</f>
        <v>0</v>
      </c>
      <c r="N38" s="52">
        <f>+'22'!L23</f>
        <v>0</v>
      </c>
      <c r="O38" s="52">
        <f>+'22'!M23</f>
        <v>0</v>
      </c>
      <c r="P38" s="52">
        <f>+'22'!N23</f>
        <v>0</v>
      </c>
      <c r="Q38" s="52">
        <f>+'22'!O23</f>
        <v>0</v>
      </c>
      <c r="R38" s="12">
        <f t="shared" si="7"/>
        <v>0</v>
      </c>
      <c r="S38" s="12">
        <f t="shared" si="8"/>
        <v>0</v>
      </c>
    </row>
    <row r="39" spans="1:19" x14ac:dyDescent="0.2">
      <c r="B39" s="19" t="s">
        <v>195</v>
      </c>
      <c r="C39" s="37" t="s">
        <v>16</v>
      </c>
      <c r="D39" s="37" t="s">
        <v>168</v>
      </c>
      <c r="E39" s="52">
        <v>20</v>
      </c>
      <c r="F39" s="52">
        <f>+'22'!D36</f>
        <v>24</v>
      </c>
      <c r="G39" s="52">
        <f>+'22'!E36</f>
        <v>25</v>
      </c>
      <c r="H39" s="52">
        <f>+'22'!F36</f>
        <v>25</v>
      </c>
      <c r="I39" s="52">
        <f>+'22'!G36</f>
        <v>27</v>
      </c>
      <c r="J39" s="52">
        <f>+'22'!H36</f>
        <v>0</v>
      </c>
      <c r="K39" s="52">
        <f>+'22'!I36</f>
        <v>0</v>
      </c>
      <c r="L39" s="52">
        <f>+'22'!J36</f>
        <v>0</v>
      </c>
      <c r="M39" s="52">
        <f>+'22'!K36</f>
        <v>0</v>
      </c>
      <c r="N39" s="52">
        <f>+'22'!L36</f>
        <v>0</v>
      </c>
      <c r="O39" s="52">
        <f>+'22'!M36</f>
        <v>0</v>
      </c>
      <c r="P39" s="52">
        <f>+'22'!N36</f>
        <v>0</v>
      </c>
      <c r="Q39" s="52">
        <f>+'22'!O36</f>
        <v>0</v>
      </c>
      <c r="R39" s="12">
        <f t="shared" si="7"/>
        <v>25.25</v>
      </c>
      <c r="S39" s="12">
        <f t="shared" si="8"/>
        <v>5.25</v>
      </c>
    </row>
    <row r="40" spans="1:19" x14ac:dyDescent="0.2">
      <c r="B40" s="19" t="s">
        <v>54</v>
      </c>
      <c r="C40" s="37" t="s">
        <v>16</v>
      </c>
      <c r="D40" s="37" t="s">
        <v>168</v>
      </c>
      <c r="E40" s="52">
        <v>68.75</v>
      </c>
      <c r="F40" s="52">
        <f>+'22'!D37</f>
        <v>72</v>
      </c>
      <c r="G40" s="52">
        <f>+'22'!E37</f>
        <v>75</v>
      </c>
      <c r="H40" s="52">
        <f>+'22'!F37</f>
        <v>73</v>
      </c>
      <c r="I40" s="52">
        <f>+'22'!G37</f>
        <v>72</v>
      </c>
      <c r="J40" s="52">
        <f>+'22'!H37</f>
        <v>0</v>
      </c>
      <c r="K40" s="52">
        <f>+'22'!I37</f>
        <v>0</v>
      </c>
      <c r="L40" s="52">
        <f>+'22'!J37</f>
        <v>0</v>
      </c>
      <c r="M40" s="52">
        <f>+'22'!K37</f>
        <v>0</v>
      </c>
      <c r="N40" s="52">
        <f>+'22'!L37</f>
        <v>0</v>
      </c>
      <c r="O40" s="52">
        <f>+'22'!M37</f>
        <v>0</v>
      </c>
      <c r="P40" s="52">
        <f>+'22'!N37</f>
        <v>0</v>
      </c>
      <c r="Q40" s="52">
        <f>+'22'!O37</f>
        <v>0</v>
      </c>
      <c r="R40" s="12">
        <f t="shared" si="7"/>
        <v>73</v>
      </c>
      <c r="S40" s="12">
        <f t="shared" si="8"/>
        <v>4.25</v>
      </c>
    </row>
    <row r="41" spans="1:19" x14ac:dyDescent="0.2">
      <c r="B41" s="19" t="s">
        <v>187</v>
      </c>
      <c r="C41" s="37" t="s">
        <v>16</v>
      </c>
      <c r="D41" s="37" t="s">
        <v>168</v>
      </c>
      <c r="E41" s="52">
        <v>0</v>
      </c>
      <c r="F41" s="52">
        <f>'22'!D96</f>
        <v>0</v>
      </c>
      <c r="G41" s="52">
        <f>'22'!E96</f>
        <v>0</v>
      </c>
      <c r="H41" s="52">
        <f>'22'!F96</f>
        <v>0</v>
      </c>
      <c r="I41" s="52">
        <f>'22'!G96</f>
        <v>0</v>
      </c>
      <c r="J41" s="52">
        <f>'22'!H96</f>
        <v>0</v>
      </c>
      <c r="K41" s="52">
        <f>'22'!I96</f>
        <v>0</v>
      </c>
      <c r="L41" s="52">
        <f>'22'!J96</f>
        <v>0</v>
      </c>
      <c r="M41" s="52">
        <f>'22'!K96</f>
        <v>0</v>
      </c>
      <c r="N41" s="52">
        <f>'22'!L96</f>
        <v>0</v>
      </c>
      <c r="O41" s="52">
        <f>'22'!M96</f>
        <v>0</v>
      </c>
      <c r="P41" s="52">
        <f>'22'!N96</f>
        <v>0</v>
      </c>
      <c r="Q41" s="52">
        <f>'22'!O96</f>
        <v>0</v>
      </c>
      <c r="R41" s="12">
        <f t="shared" si="7"/>
        <v>0</v>
      </c>
      <c r="S41" s="12">
        <f t="shared" si="8"/>
        <v>0</v>
      </c>
    </row>
    <row r="42" spans="1:19" x14ac:dyDescent="0.2">
      <c r="B42" s="19" t="s">
        <v>214</v>
      </c>
      <c r="C42" s="37"/>
      <c r="D42" s="37" t="s">
        <v>167</v>
      </c>
      <c r="E42" s="52">
        <v>109.08333333333333</v>
      </c>
      <c r="F42" s="52">
        <f>'22'!D101</f>
        <v>119</v>
      </c>
      <c r="G42" s="52">
        <f>'22'!E101</f>
        <v>119</v>
      </c>
      <c r="H42" s="52">
        <f>'22'!F101</f>
        <v>118</v>
      </c>
      <c r="I42" s="52">
        <f>'22'!G101</f>
        <v>119</v>
      </c>
      <c r="J42" s="52">
        <f>'22'!H101</f>
        <v>0</v>
      </c>
      <c r="K42" s="52">
        <f>'22'!I101</f>
        <v>0</v>
      </c>
      <c r="L42" s="52">
        <f>'22'!J101</f>
        <v>0</v>
      </c>
      <c r="M42" s="52">
        <f>'22'!K101</f>
        <v>0</v>
      </c>
      <c r="N42" s="52">
        <f>'22'!L101</f>
        <v>0</v>
      </c>
      <c r="O42" s="52">
        <f>'22'!M101</f>
        <v>0</v>
      </c>
      <c r="P42" s="52">
        <f>'22'!N101</f>
        <v>0</v>
      </c>
      <c r="Q42" s="52">
        <f>'22'!O101</f>
        <v>0</v>
      </c>
      <c r="R42" s="12">
        <f>SUM(F42:Q42)/_No_Mths.</f>
        <v>118.75</v>
      </c>
      <c r="S42" s="12">
        <f>R42-E42</f>
        <v>9.6666666666666714</v>
      </c>
    </row>
    <row r="43" spans="1:19" x14ac:dyDescent="0.2">
      <c r="B43" s="19" t="s">
        <v>215</v>
      </c>
      <c r="C43" s="37"/>
      <c r="D43" s="37" t="s">
        <v>167</v>
      </c>
      <c r="E43" s="52">
        <v>8.3333333333333329E-2</v>
      </c>
      <c r="F43" s="52">
        <f>'22'!D100</f>
        <v>1</v>
      </c>
      <c r="G43" s="52">
        <f>'22'!E100</f>
        <v>0</v>
      </c>
      <c r="H43" s="52">
        <f>'22'!F100</f>
        <v>0</v>
      </c>
      <c r="I43" s="52">
        <f>'22'!G100</f>
        <v>0</v>
      </c>
      <c r="J43" s="52">
        <f>'22'!H100</f>
        <v>0</v>
      </c>
      <c r="K43" s="52">
        <f>'22'!I100</f>
        <v>0</v>
      </c>
      <c r="L43" s="52">
        <f>'22'!J100</f>
        <v>0</v>
      </c>
      <c r="M43" s="52">
        <f>'22'!K100</f>
        <v>0</v>
      </c>
      <c r="N43" s="52">
        <f>'22'!L100</f>
        <v>0</v>
      </c>
      <c r="O43" s="52">
        <f>'22'!M100</f>
        <v>0</v>
      </c>
      <c r="P43" s="52">
        <f>'22'!N100</f>
        <v>0</v>
      </c>
      <c r="Q43" s="52">
        <f>'22'!O100</f>
        <v>0</v>
      </c>
      <c r="R43" s="12">
        <f>SUM(F43:Q43)/_No_Mths.</f>
        <v>0.25</v>
      </c>
      <c r="S43" s="12">
        <f>R43-E43</f>
        <v>0.16666666666666669</v>
      </c>
    </row>
    <row r="44" spans="1:19" x14ac:dyDescent="0.2">
      <c r="B44" s="19" t="s">
        <v>203</v>
      </c>
      <c r="C44" s="37" t="s">
        <v>16</v>
      </c>
      <c r="D44" s="37" t="s">
        <v>168</v>
      </c>
      <c r="E44" s="52">
        <v>59.583333333333336</v>
      </c>
      <c r="F44" s="52">
        <f>+'22'!D56+'22'!D95</f>
        <v>62</v>
      </c>
      <c r="G44" s="52">
        <f>+'22'!E56+'22'!E95</f>
        <v>53</v>
      </c>
      <c r="H44" s="52">
        <f>+'22'!F56+'22'!F95</f>
        <v>50</v>
      </c>
      <c r="I44" s="52">
        <f>+'22'!G56+'22'!G95</f>
        <v>49</v>
      </c>
      <c r="J44" s="52">
        <f>+'22'!H56+'22'!H95</f>
        <v>0</v>
      </c>
      <c r="K44" s="52">
        <f>+'22'!I56+'22'!I95</f>
        <v>0</v>
      </c>
      <c r="L44" s="52">
        <f>+'22'!J56+'22'!J95</f>
        <v>0</v>
      </c>
      <c r="M44" s="52">
        <f>+'22'!K56+'22'!K95</f>
        <v>0</v>
      </c>
      <c r="N44" s="52">
        <f>+'22'!L56+'22'!L95</f>
        <v>0</v>
      </c>
      <c r="O44" s="52">
        <f>+'22'!M56+'22'!M95</f>
        <v>0</v>
      </c>
      <c r="P44" s="52">
        <f>+'22'!N56+'22'!N95</f>
        <v>0</v>
      </c>
      <c r="Q44" s="52">
        <f>+'22'!O56+'22'!O95</f>
        <v>0</v>
      </c>
      <c r="R44" s="12">
        <f t="shared" si="7"/>
        <v>53.5</v>
      </c>
      <c r="S44" s="12">
        <f t="shared" si="8"/>
        <v>-6.0833333333333357</v>
      </c>
    </row>
    <row r="45" spans="1:19" x14ac:dyDescent="0.2">
      <c r="A45" s="29"/>
      <c r="B45" s="28" t="s">
        <v>122</v>
      </c>
      <c r="C45" s="38"/>
      <c r="D45" s="38"/>
      <c r="E45" s="40">
        <v>298</v>
      </c>
      <c r="F45" s="40">
        <f>SUM(F33:F44)</f>
        <v>317</v>
      </c>
      <c r="G45" s="40">
        <f t="shared" ref="G45:R45" si="9">SUM(G33:G44)</f>
        <v>306</v>
      </c>
      <c r="H45" s="40">
        <f>SUM(H33:H44)</f>
        <v>296</v>
      </c>
      <c r="I45" s="40">
        <f>SUM(I33:I44)</f>
        <v>300</v>
      </c>
      <c r="J45" s="40">
        <f t="shared" si="9"/>
        <v>0</v>
      </c>
      <c r="K45" s="40">
        <f t="shared" si="9"/>
        <v>0</v>
      </c>
      <c r="L45" s="40">
        <f t="shared" si="9"/>
        <v>0</v>
      </c>
      <c r="M45" s="40">
        <f t="shared" si="9"/>
        <v>0</v>
      </c>
      <c r="N45" s="40">
        <f t="shared" si="9"/>
        <v>0</v>
      </c>
      <c r="O45" s="40">
        <f t="shared" ref="O45:Q45" si="10">SUM(O33:O44)</f>
        <v>0</v>
      </c>
      <c r="P45" s="40">
        <f t="shared" si="10"/>
        <v>0</v>
      </c>
      <c r="Q45" s="40">
        <f t="shared" si="10"/>
        <v>0</v>
      </c>
      <c r="R45" s="40">
        <f t="shared" si="9"/>
        <v>304.75</v>
      </c>
      <c r="S45" s="40">
        <f>SUM(S33:S44)</f>
        <v>6.7500000000000018</v>
      </c>
    </row>
    <row r="46" spans="1:19" ht="3.75" customHeight="1" x14ac:dyDescent="0.2">
      <c r="B46" s="19"/>
      <c r="C46" s="37"/>
      <c r="D46" s="37"/>
      <c r="E46" s="52"/>
      <c r="F46" s="53"/>
      <c r="G46" s="53"/>
      <c r="H46" s="53"/>
      <c r="I46" s="53"/>
      <c r="J46" s="53"/>
      <c r="K46" s="52"/>
      <c r="L46" s="52"/>
      <c r="M46" s="52"/>
      <c r="N46" s="52"/>
      <c r="O46" s="52"/>
      <c r="P46" s="52"/>
      <c r="Q46" s="52"/>
      <c r="R46" s="13"/>
      <c r="S46" s="13"/>
    </row>
    <row r="47" spans="1:19" x14ac:dyDescent="0.2">
      <c r="A47" s="27" t="s">
        <v>41</v>
      </c>
      <c r="B47" s="19" t="s">
        <v>55</v>
      </c>
      <c r="C47" s="37" t="s">
        <v>17</v>
      </c>
      <c r="D47" s="37" t="s">
        <v>168</v>
      </c>
      <c r="E47" s="52">
        <v>242</v>
      </c>
      <c r="F47" s="52">
        <f>+'22'!D21</f>
        <v>241</v>
      </c>
      <c r="G47" s="52">
        <f>+'22'!E21</f>
        <v>238</v>
      </c>
      <c r="H47" s="52">
        <f>+'22'!F21</f>
        <v>233</v>
      </c>
      <c r="I47" s="52">
        <f>+'22'!G21</f>
        <v>235</v>
      </c>
      <c r="J47" s="52">
        <f>+'22'!H21</f>
        <v>0</v>
      </c>
      <c r="K47" s="52">
        <f>+'22'!I21</f>
        <v>0</v>
      </c>
      <c r="L47" s="52">
        <f>+'22'!J21</f>
        <v>0</v>
      </c>
      <c r="M47" s="52">
        <f>+'22'!K21</f>
        <v>0</v>
      </c>
      <c r="N47" s="52">
        <f>+'22'!L21</f>
        <v>0</v>
      </c>
      <c r="O47" s="52">
        <f>+'22'!M21</f>
        <v>0</v>
      </c>
      <c r="P47" s="52">
        <f>+'22'!N21</f>
        <v>0</v>
      </c>
      <c r="Q47" s="52">
        <f>+'22'!O21</f>
        <v>0</v>
      </c>
      <c r="R47" s="12">
        <f>SUM(F47:Q47)/_No_Mths.</f>
        <v>236.75</v>
      </c>
      <c r="S47" s="12">
        <f>R47-E47</f>
        <v>-5.25</v>
      </c>
    </row>
    <row r="48" spans="1:19" x14ac:dyDescent="0.2">
      <c r="A48" s="27" t="s">
        <v>41</v>
      </c>
      <c r="B48" s="19" t="s">
        <v>56</v>
      </c>
      <c r="C48" s="37" t="s">
        <v>17</v>
      </c>
      <c r="D48" s="37" t="s">
        <v>168</v>
      </c>
      <c r="E48" s="52">
        <v>2.5</v>
      </c>
      <c r="F48" s="52">
        <f>+'22'!D22</f>
        <v>2</v>
      </c>
      <c r="G48" s="52">
        <f>+'22'!E22</f>
        <v>2</v>
      </c>
      <c r="H48" s="52">
        <f>+'22'!F22</f>
        <v>2</v>
      </c>
      <c r="I48" s="52">
        <f>+'22'!G22</f>
        <v>1</v>
      </c>
      <c r="J48" s="52">
        <f>+'22'!H22</f>
        <v>0</v>
      </c>
      <c r="K48" s="52">
        <f>+'22'!I22</f>
        <v>0</v>
      </c>
      <c r="L48" s="52">
        <f>+'22'!J22</f>
        <v>0</v>
      </c>
      <c r="M48" s="52">
        <f>+'22'!K22</f>
        <v>0</v>
      </c>
      <c r="N48" s="52">
        <f>+'22'!L22</f>
        <v>0</v>
      </c>
      <c r="O48" s="52">
        <f>+'22'!M22</f>
        <v>0</v>
      </c>
      <c r="P48" s="52">
        <f>+'22'!N22</f>
        <v>0</v>
      </c>
      <c r="Q48" s="52">
        <f>+'22'!O22</f>
        <v>0</v>
      </c>
      <c r="R48" s="12">
        <f>SUM(F48:Q48)/_No_Mths.</f>
        <v>1.75</v>
      </c>
      <c r="S48" s="12">
        <f>R48-E48</f>
        <v>-0.75</v>
      </c>
    </row>
    <row r="49" spans="1:19" x14ac:dyDescent="0.2">
      <c r="A49" s="27" t="s">
        <v>41</v>
      </c>
      <c r="B49" s="19" t="s">
        <v>61</v>
      </c>
      <c r="C49" s="37" t="s">
        <v>17</v>
      </c>
      <c r="D49" s="37" t="s">
        <v>168</v>
      </c>
      <c r="E49" s="52">
        <v>0</v>
      </c>
      <c r="F49" s="52">
        <f>+'22'!D28</f>
        <v>0</v>
      </c>
      <c r="G49" s="52">
        <f>+'22'!E28</f>
        <v>0</v>
      </c>
      <c r="H49" s="52">
        <f>+'22'!F28</f>
        <v>0</v>
      </c>
      <c r="I49" s="52">
        <f>+'22'!G28</f>
        <v>0</v>
      </c>
      <c r="J49" s="52">
        <f>+'22'!H28</f>
        <v>0</v>
      </c>
      <c r="K49" s="52">
        <f>+'22'!I28</f>
        <v>0</v>
      </c>
      <c r="L49" s="52">
        <f>+'22'!J28</f>
        <v>0</v>
      </c>
      <c r="M49" s="52">
        <f>+'22'!K28</f>
        <v>0</v>
      </c>
      <c r="N49" s="52">
        <f>+'22'!L28</f>
        <v>0</v>
      </c>
      <c r="O49" s="52">
        <f>+'22'!M28</f>
        <v>0</v>
      </c>
      <c r="P49" s="52">
        <f>+'22'!N28</f>
        <v>0</v>
      </c>
      <c r="Q49" s="52">
        <f>+'22'!O28</f>
        <v>0</v>
      </c>
      <c r="R49" s="12">
        <f>SUM(F49:Q49)/_No_Mths.</f>
        <v>0</v>
      </c>
      <c r="S49" s="12">
        <f>R49-E49</f>
        <v>0</v>
      </c>
    </row>
    <row r="50" spans="1:19" x14ac:dyDescent="0.2">
      <c r="A50" s="34"/>
      <c r="B50" s="28" t="s">
        <v>123</v>
      </c>
      <c r="C50" s="38"/>
      <c r="D50" s="38"/>
      <c r="E50" s="30">
        <v>244.5</v>
      </c>
      <c r="F50" s="30">
        <f>SUM(F47:F49)</f>
        <v>243</v>
      </c>
      <c r="G50" s="30">
        <f>SUM(G47:G49)</f>
        <v>240</v>
      </c>
      <c r="H50" s="30">
        <f>SUM(H47:H49)</f>
        <v>235</v>
      </c>
      <c r="I50" s="30">
        <f>SUM(I47:I49)</f>
        <v>236</v>
      </c>
      <c r="J50" s="30">
        <f t="shared" ref="J50:R50" si="11">SUM(J47:J49)</f>
        <v>0</v>
      </c>
      <c r="K50" s="30">
        <f t="shared" si="11"/>
        <v>0</v>
      </c>
      <c r="L50" s="30">
        <f t="shared" si="11"/>
        <v>0</v>
      </c>
      <c r="M50" s="30">
        <f t="shared" si="11"/>
        <v>0</v>
      </c>
      <c r="N50" s="30">
        <f t="shared" si="11"/>
        <v>0</v>
      </c>
      <c r="O50" s="30">
        <f t="shared" ref="O50:Q50" si="12">SUM(O47:O49)</f>
        <v>0</v>
      </c>
      <c r="P50" s="30">
        <f t="shared" si="12"/>
        <v>0</v>
      </c>
      <c r="Q50" s="30">
        <f t="shared" si="12"/>
        <v>0</v>
      </c>
      <c r="R50" s="30">
        <f t="shared" si="11"/>
        <v>238.5</v>
      </c>
      <c r="S50" s="30">
        <f>SUM(S47:S49)</f>
        <v>-6</v>
      </c>
    </row>
    <row r="51" spans="1:19" ht="6.75" customHeight="1" x14ac:dyDescent="0.2">
      <c r="A51" s="27"/>
      <c r="B51" s="35"/>
      <c r="C51" s="37"/>
      <c r="D51" s="37"/>
      <c r="E51" s="52"/>
      <c r="F51" s="52"/>
      <c r="G51" s="53"/>
      <c r="H51" s="53"/>
      <c r="I51" s="53"/>
      <c r="J51" s="53"/>
      <c r="K51" s="52"/>
      <c r="L51" s="52"/>
      <c r="M51" s="52"/>
      <c r="N51" s="52"/>
      <c r="O51" s="52"/>
      <c r="P51" s="52"/>
      <c r="Q51" s="52"/>
      <c r="R51" s="13"/>
      <c r="S51" s="13"/>
    </row>
    <row r="52" spans="1:19" x14ac:dyDescent="0.2">
      <c r="A52" s="29"/>
      <c r="B52" s="33" t="s">
        <v>124</v>
      </c>
      <c r="C52" s="38" t="s">
        <v>18</v>
      </c>
      <c r="D52" s="105" t="s">
        <v>168</v>
      </c>
      <c r="E52" s="30">
        <v>14.916666666666666</v>
      </c>
      <c r="F52" s="30">
        <f>+'22'!D38</f>
        <v>22</v>
      </c>
      <c r="G52" s="30">
        <f>+'22'!E38</f>
        <v>24</v>
      </c>
      <c r="H52" s="30">
        <f>+'22'!F38</f>
        <v>28</v>
      </c>
      <c r="I52" s="30">
        <f>+'22'!G38</f>
        <v>29</v>
      </c>
      <c r="J52" s="30">
        <f>+'22'!H38</f>
        <v>0</v>
      </c>
      <c r="K52" s="30">
        <f>+'22'!I38</f>
        <v>0</v>
      </c>
      <c r="L52" s="30">
        <f>+'22'!J38</f>
        <v>0</v>
      </c>
      <c r="M52" s="30">
        <f>+'22'!K38</f>
        <v>0</v>
      </c>
      <c r="N52" s="30">
        <f>+'22'!L38</f>
        <v>0</v>
      </c>
      <c r="O52" s="30">
        <f>+'22'!M38</f>
        <v>0</v>
      </c>
      <c r="P52" s="30">
        <f>+'22'!N38</f>
        <v>0</v>
      </c>
      <c r="Q52" s="30">
        <f>+'22'!O38</f>
        <v>0</v>
      </c>
      <c r="R52" s="30">
        <f>SUM(F52:Q52)/_No_Mths.</f>
        <v>25.75</v>
      </c>
      <c r="S52" s="30">
        <f>R52-E52</f>
        <v>10.833333333333334</v>
      </c>
    </row>
    <row r="53" spans="1:19" ht="6.75" customHeight="1" x14ac:dyDescent="0.2">
      <c r="B53" s="32"/>
      <c r="C53" s="37"/>
      <c r="D53" s="37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3"/>
      <c r="S53" s="13"/>
    </row>
    <row r="54" spans="1:19" x14ac:dyDescent="0.2">
      <c r="A54" s="34" t="s">
        <v>41</v>
      </c>
      <c r="B54" s="33" t="s">
        <v>125</v>
      </c>
      <c r="C54" s="38" t="s">
        <v>19</v>
      </c>
      <c r="D54" s="38" t="s">
        <v>168</v>
      </c>
      <c r="E54" s="30">
        <v>0.91666666666666663</v>
      </c>
      <c r="F54" s="30">
        <f>+'22'!D81</f>
        <v>0</v>
      </c>
      <c r="G54" s="30">
        <f>+'22'!E81</f>
        <v>0</v>
      </c>
      <c r="H54" s="30">
        <f>+'22'!F81</f>
        <v>0</v>
      </c>
      <c r="I54" s="30">
        <f>+'22'!G81</f>
        <v>0</v>
      </c>
      <c r="J54" s="30">
        <f>+'22'!H81</f>
        <v>0</v>
      </c>
      <c r="K54" s="30">
        <f>+'22'!I81</f>
        <v>0</v>
      </c>
      <c r="L54" s="30">
        <f>+'22'!J81</f>
        <v>0</v>
      </c>
      <c r="M54" s="30">
        <f>+'22'!K81</f>
        <v>0</v>
      </c>
      <c r="N54" s="30">
        <f>+'22'!L81</f>
        <v>0</v>
      </c>
      <c r="O54" s="30">
        <f>+'22'!M81</f>
        <v>0</v>
      </c>
      <c r="P54" s="30">
        <f>+'22'!N81</f>
        <v>0</v>
      </c>
      <c r="Q54" s="30">
        <f>+'22'!O81</f>
        <v>0</v>
      </c>
      <c r="R54" s="30">
        <f>SUM(F54:Q54)/_No_Mths.</f>
        <v>0</v>
      </c>
      <c r="S54" s="30">
        <f>R54-E54</f>
        <v>-0.91666666666666663</v>
      </c>
    </row>
    <row r="55" spans="1:19" ht="7.5" customHeight="1" x14ac:dyDescent="0.2">
      <c r="A55" s="27"/>
      <c r="B55" s="19"/>
      <c r="C55" s="37"/>
      <c r="D55" s="37"/>
      <c r="E55" s="52"/>
      <c r="F55" s="52"/>
      <c r="G55" s="53"/>
      <c r="H55" s="53"/>
      <c r="I55" s="52"/>
      <c r="J55" s="52"/>
      <c r="K55" s="52"/>
      <c r="L55" s="52"/>
      <c r="M55" s="52"/>
      <c r="N55" s="52"/>
      <c r="O55" s="52"/>
      <c r="P55" s="52"/>
      <c r="Q55" s="52"/>
      <c r="R55" s="13"/>
      <c r="S55" s="13"/>
    </row>
    <row r="56" spans="1:19" x14ac:dyDescent="0.2">
      <c r="A56" s="27" t="s">
        <v>41</v>
      </c>
      <c r="B56" s="19" t="s">
        <v>50</v>
      </c>
      <c r="C56" s="37" t="s">
        <v>20</v>
      </c>
      <c r="D56" s="37" t="s">
        <v>168</v>
      </c>
      <c r="E56" s="52">
        <v>0</v>
      </c>
      <c r="F56" s="52">
        <f>+'22'!D82</f>
        <v>0</v>
      </c>
      <c r="G56" s="52">
        <f>+'22'!E82</f>
        <v>0</v>
      </c>
      <c r="H56" s="52">
        <f>+'22'!F82</f>
        <v>0</v>
      </c>
      <c r="I56" s="52">
        <f>+'22'!G82</f>
        <v>0</v>
      </c>
      <c r="J56" s="52">
        <f>+'22'!H82</f>
        <v>0</v>
      </c>
      <c r="K56" s="52">
        <f>+'22'!I82</f>
        <v>0</v>
      </c>
      <c r="L56" s="52">
        <f>+'22'!J82</f>
        <v>0</v>
      </c>
      <c r="M56" s="52">
        <f>+'22'!K82</f>
        <v>0</v>
      </c>
      <c r="N56" s="52">
        <f>+'22'!L82</f>
        <v>0</v>
      </c>
      <c r="O56" s="52">
        <f>+'22'!M82</f>
        <v>0</v>
      </c>
      <c r="P56" s="52">
        <f>+'22'!N82</f>
        <v>0</v>
      </c>
      <c r="Q56" s="52">
        <f>+'22'!O82</f>
        <v>0</v>
      </c>
      <c r="R56" s="12">
        <f>SUM(F56:Q56)/_No_Mths.</f>
        <v>0</v>
      </c>
      <c r="S56" s="12">
        <f>R56-E56</f>
        <v>0</v>
      </c>
    </row>
    <row r="57" spans="1:19" x14ac:dyDescent="0.2">
      <c r="A57" s="27" t="s">
        <v>41</v>
      </c>
      <c r="B57" s="19" t="s">
        <v>53</v>
      </c>
      <c r="C57" s="37" t="s">
        <v>20</v>
      </c>
      <c r="D57" s="37" t="s">
        <v>168</v>
      </c>
      <c r="E57" s="52">
        <v>0</v>
      </c>
      <c r="F57" s="52">
        <f>+'22'!D83</f>
        <v>0</v>
      </c>
      <c r="G57" s="52">
        <f>+'22'!E83</f>
        <v>0</v>
      </c>
      <c r="H57" s="52">
        <f>+'22'!F83</f>
        <v>0</v>
      </c>
      <c r="I57" s="52">
        <f>+'22'!G83</f>
        <v>0</v>
      </c>
      <c r="J57" s="52">
        <f>+'22'!H83</f>
        <v>0</v>
      </c>
      <c r="K57" s="52">
        <f>+'22'!I83</f>
        <v>0</v>
      </c>
      <c r="L57" s="52">
        <f>+'22'!J83</f>
        <v>0</v>
      </c>
      <c r="M57" s="52">
        <f>+'22'!K83</f>
        <v>0</v>
      </c>
      <c r="N57" s="52">
        <f>+'22'!L83</f>
        <v>0</v>
      </c>
      <c r="O57" s="52">
        <f>+'22'!M83</f>
        <v>0</v>
      </c>
      <c r="P57" s="52">
        <f>+'22'!N83</f>
        <v>0</v>
      </c>
      <c r="Q57" s="52">
        <f>+'22'!O83</f>
        <v>0</v>
      </c>
      <c r="R57" s="12">
        <f>SUM(F57:Q57)/_No_Mths.</f>
        <v>0</v>
      </c>
      <c r="S57" s="12">
        <f>R57-E57</f>
        <v>0</v>
      </c>
    </row>
    <row r="58" spans="1:19" x14ac:dyDescent="0.2">
      <c r="B58" s="19" t="s">
        <v>107</v>
      </c>
      <c r="C58" s="37" t="s">
        <v>20</v>
      </c>
      <c r="D58" s="37" t="s">
        <v>168</v>
      </c>
      <c r="E58" s="52">
        <v>0</v>
      </c>
      <c r="F58" s="52">
        <f>+'22'!D86</f>
        <v>0</v>
      </c>
      <c r="G58" s="52">
        <f>+'22'!E86</f>
        <v>0</v>
      </c>
      <c r="H58" s="52">
        <f>+'22'!F86</f>
        <v>0</v>
      </c>
      <c r="I58" s="52">
        <f>+'22'!G86</f>
        <v>0</v>
      </c>
      <c r="J58" s="52">
        <f>+'22'!H86</f>
        <v>0</v>
      </c>
      <c r="K58" s="52">
        <f>+'22'!I86</f>
        <v>0</v>
      </c>
      <c r="L58" s="52">
        <f>+'22'!J86</f>
        <v>0</v>
      </c>
      <c r="M58" s="52">
        <f>+'22'!K86</f>
        <v>0</v>
      </c>
      <c r="N58" s="52">
        <f>+'22'!L86</f>
        <v>0</v>
      </c>
      <c r="O58" s="52">
        <f>+'22'!M86</f>
        <v>0</v>
      </c>
      <c r="P58" s="52">
        <f>+'22'!N86</f>
        <v>0</v>
      </c>
      <c r="Q58" s="52">
        <f>+'22'!O86</f>
        <v>0</v>
      </c>
      <c r="R58" s="12">
        <f>SUM(F58:Q58)/_No_Mths.</f>
        <v>0</v>
      </c>
      <c r="S58" s="12">
        <f>R58-E58</f>
        <v>0</v>
      </c>
    </row>
    <row r="59" spans="1:19" x14ac:dyDescent="0.2">
      <c r="A59" s="29"/>
      <c r="B59" s="28" t="s">
        <v>126</v>
      </c>
      <c r="C59" s="38"/>
      <c r="D59" s="38"/>
      <c r="E59" s="30">
        <v>0</v>
      </c>
      <c r="F59" s="30">
        <f>SUM(F56:F58)</f>
        <v>0</v>
      </c>
      <c r="G59" s="30">
        <f t="shared" ref="G59:R59" si="13">SUM(G56:G58)</f>
        <v>0</v>
      </c>
      <c r="H59" s="30">
        <f t="shared" si="13"/>
        <v>0</v>
      </c>
      <c r="I59" s="30">
        <f t="shared" si="13"/>
        <v>0</v>
      </c>
      <c r="J59" s="30">
        <f t="shared" si="13"/>
        <v>0</v>
      </c>
      <c r="K59" s="30">
        <f t="shared" si="13"/>
        <v>0</v>
      </c>
      <c r="L59" s="30">
        <f t="shared" si="13"/>
        <v>0</v>
      </c>
      <c r="M59" s="30">
        <f t="shared" si="13"/>
        <v>0</v>
      </c>
      <c r="N59" s="30">
        <f t="shared" si="13"/>
        <v>0</v>
      </c>
      <c r="O59" s="30">
        <f t="shared" ref="O59:Q59" si="14">SUM(O56:O58)</f>
        <v>0</v>
      </c>
      <c r="P59" s="30">
        <f t="shared" si="14"/>
        <v>0</v>
      </c>
      <c r="Q59" s="30">
        <f t="shared" si="14"/>
        <v>0</v>
      </c>
      <c r="R59" s="30">
        <f t="shared" si="13"/>
        <v>0</v>
      </c>
      <c r="S59" s="30">
        <f>SUM(S56:S58)</f>
        <v>0</v>
      </c>
    </row>
    <row r="60" spans="1:19" ht="4.5" customHeight="1" x14ac:dyDescent="0.2">
      <c r="B60" s="19"/>
      <c r="C60" s="37"/>
      <c r="D60" s="37"/>
      <c r="E60" s="52"/>
      <c r="F60" s="52"/>
      <c r="G60" s="53"/>
      <c r="H60" s="53"/>
      <c r="I60" s="52"/>
      <c r="J60" s="52"/>
      <c r="K60" s="52"/>
      <c r="L60" s="52"/>
      <c r="M60" s="52"/>
      <c r="N60" s="52"/>
      <c r="O60" s="52"/>
      <c r="P60" s="52"/>
      <c r="Q60" s="52"/>
      <c r="R60" s="13"/>
      <c r="S60" s="13"/>
    </row>
    <row r="61" spans="1:19" x14ac:dyDescent="0.2">
      <c r="A61" s="27" t="s">
        <v>41</v>
      </c>
      <c r="B61" s="19" t="s">
        <v>105</v>
      </c>
      <c r="C61" s="37" t="s">
        <v>21</v>
      </c>
      <c r="D61" s="37" t="s">
        <v>167</v>
      </c>
      <c r="E61" s="52">
        <v>0</v>
      </c>
      <c r="F61" s="52">
        <f>+'22'!D84</f>
        <v>0</v>
      </c>
      <c r="G61" s="52">
        <f>+'22'!E84</f>
        <v>0</v>
      </c>
      <c r="H61" s="52">
        <f>+'22'!F84</f>
        <v>0</v>
      </c>
      <c r="I61" s="52">
        <f>+'22'!G84</f>
        <v>0</v>
      </c>
      <c r="J61" s="52">
        <f>+'22'!H84</f>
        <v>0</v>
      </c>
      <c r="K61" s="52">
        <f>+'22'!I84</f>
        <v>0</v>
      </c>
      <c r="L61" s="52">
        <f>+'22'!J84</f>
        <v>0</v>
      </c>
      <c r="M61" s="52">
        <f>+'22'!K84</f>
        <v>0</v>
      </c>
      <c r="N61" s="52">
        <f>+'22'!L84</f>
        <v>0</v>
      </c>
      <c r="O61" s="52">
        <f>+'22'!M84</f>
        <v>0</v>
      </c>
      <c r="P61" s="52">
        <f>+'22'!N84</f>
        <v>0</v>
      </c>
      <c r="Q61" s="52">
        <f>+'22'!O84</f>
        <v>0</v>
      </c>
      <c r="R61" s="12">
        <f>SUM(F61:Q61)/_No_Mths.</f>
        <v>0</v>
      </c>
      <c r="S61" s="12">
        <f>R61-E61</f>
        <v>0</v>
      </c>
    </row>
    <row r="62" spans="1:19" x14ac:dyDescent="0.2">
      <c r="A62" s="27" t="s">
        <v>41</v>
      </c>
      <c r="B62" s="19" t="s">
        <v>106</v>
      </c>
      <c r="C62" s="37" t="s">
        <v>21</v>
      </c>
      <c r="D62" s="37" t="s">
        <v>168</v>
      </c>
      <c r="E62" s="52">
        <v>0</v>
      </c>
      <c r="F62" s="52">
        <f>+'22'!D85</f>
        <v>0</v>
      </c>
      <c r="G62" s="52">
        <f>+'22'!E85</f>
        <v>0</v>
      </c>
      <c r="H62" s="52">
        <f>+'22'!F85</f>
        <v>0</v>
      </c>
      <c r="I62" s="52">
        <f>+'22'!G85</f>
        <v>0</v>
      </c>
      <c r="J62" s="52">
        <f>+'22'!H85</f>
        <v>0</v>
      </c>
      <c r="K62" s="52">
        <f>+'22'!I85</f>
        <v>0</v>
      </c>
      <c r="L62" s="52">
        <f>+'22'!J85</f>
        <v>0</v>
      </c>
      <c r="M62" s="52">
        <f>+'22'!K85</f>
        <v>0</v>
      </c>
      <c r="N62" s="52">
        <f>+'22'!L85</f>
        <v>0</v>
      </c>
      <c r="O62" s="52">
        <f>+'22'!M85</f>
        <v>0</v>
      </c>
      <c r="P62" s="52">
        <f>+'22'!N85</f>
        <v>0</v>
      </c>
      <c r="Q62" s="52">
        <f>+'22'!O85</f>
        <v>0</v>
      </c>
      <c r="R62" s="12">
        <f>SUM(F62:Q62)/_No_Mths.</f>
        <v>0</v>
      </c>
      <c r="S62" s="12">
        <f>R62-E62</f>
        <v>0</v>
      </c>
    </row>
    <row r="63" spans="1:19" x14ac:dyDescent="0.2">
      <c r="B63" s="19" t="s">
        <v>108</v>
      </c>
      <c r="C63" s="37" t="s">
        <v>21</v>
      </c>
      <c r="D63" s="37"/>
      <c r="E63" s="52">
        <v>0</v>
      </c>
      <c r="F63" s="52">
        <f>+'22'!D87</f>
        <v>0</v>
      </c>
      <c r="G63" s="52">
        <f>+'22'!E87</f>
        <v>0</v>
      </c>
      <c r="H63" s="52">
        <f>+'22'!F87</f>
        <v>0</v>
      </c>
      <c r="I63" s="52">
        <f>+'22'!G87</f>
        <v>0</v>
      </c>
      <c r="J63" s="52">
        <f>+'22'!H87</f>
        <v>0</v>
      </c>
      <c r="K63" s="52">
        <f>+'22'!I87</f>
        <v>0</v>
      </c>
      <c r="L63" s="52">
        <f>+'22'!J87</f>
        <v>0</v>
      </c>
      <c r="M63" s="52">
        <f>+'22'!K87</f>
        <v>0</v>
      </c>
      <c r="N63" s="52">
        <f>+'22'!L87</f>
        <v>0</v>
      </c>
      <c r="O63" s="52">
        <f>+'22'!M87</f>
        <v>0</v>
      </c>
      <c r="P63" s="52">
        <f>+'22'!N87</f>
        <v>0</v>
      </c>
      <c r="Q63" s="52">
        <f>+'22'!O87</f>
        <v>0</v>
      </c>
      <c r="R63" s="12">
        <f>SUM(F63:Q63)/_No_Mths.</f>
        <v>0</v>
      </c>
      <c r="S63" s="12">
        <f>R63-E63</f>
        <v>0</v>
      </c>
    </row>
    <row r="64" spans="1:19" x14ac:dyDescent="0.2">
      <c r="B64" s="19" t="s">
        <v>109</v>
      </c>
      <c r="C64" s="37" t="s">
        <v>21</v>
      </c>
      <c r="D64" s="37" t="s">
        <v>167</v>
      </c>
      <c r="E64" s="52">
        <v>0</v>
      </c>
      <c r="F64" s="52">
        <f>+'22'!D89</f>
        <v>0</v>
      </c>
      <c r="G64" s="52">
        <f>+'22'!E89</f>
        <v>0</v>
      </c>
      <c r="H64" s="52">
        <f>+'22'!F89</f>
        <v>0</v>
      </c>
      <c r="I64" s="52">
        <f>+'22'!G89</f>
        <v>2</v>
      </c>
      <c r="J64" s="52">
        <f>+'22'!H89</f>
        <v>0</v>
      </c>
      <c r="K64" s="52">
        <f>+'22'!I89</f>
        <v>0</v>
      </c>
      <c r="L64" s="52">
        <f>+'22'!J89</f>
        <v>0</v>
      </c>
      <c r="M64" s="52">
        <f>+'22'!K89</f>
        <v>0</v>
      </c>
      <c r="N64" s="52">
        <f>+'22'!L89</f>
        <v>0</v>
      </c>
      <c r="O64" s="52">
        <f>+'22'!M89</f>
        <v>0</v>
      </c>
      <c r="P64" s="52">
        <f>+'22'!N89</f>
        <v>0</v>
      </c>
      <c r="Q64" s="52">
        <f>+'22'!O89</f>
        <v>0</v>
      </c>
      <c r="R64" s="12">
        <f>SUM(F64:Q64)/_No_Mths.</f>
        <v>0.5</v>
      </c>
      <c r="S64" s="12">
        <f>R64-E64</f>
        <v>0.5</v>
      </c>
    </row>
    <row r="65" spans="1:19" x14ac:dyDescent="0.2">
      <c r="B65" s="19" t="s">
        <v>106</v>
      </c>
      <c r="C65" s="37" t="s">
        <v>21</v>
      </c>
      <c r="D65" s="37" t="s">
        <v>168</v>
      </c>
      <c r="E65" s="52">
        <v>0</v>
      </c>
      <c r="F65" s="52">
        <f>+'22'!D90</f>
        <v>0</v>
      </c>
      <c r="G65" s="52">
        <f>+'22'!E90</f>
        <v>0</v>
      </c>
      <c r="H65" s="52">
        <f>+'22'!F90</f>
        <v>0</v>
      </c>
      <c r="I65" s="52">
        <f>+'22'!G90</f>
        <v>0</v>
      </c>
      <c r="J65" s="52">
        <f>+'22'!H90</f>
        <v>0</v>
      </c>
      <c r="K65" s="52">
        <f>+'22'!I90</f>
        <v>0</v>
      </c>
      <c r="L65" s="52">
        <f>+'22'!J90</f>
        <v>0</v>
      </c>
      <c r="M65" s="52">
        <f>+'22'!K90</f>
        <v>0</v>
      </c>
      <c r="N65" s="52">
        <f>+'22'!L90</f>
        <v>0</v>
      </c>
      <c r="O65" s="52">
        <f>+'22'!M90</f>
        <v>0</v>
      </c>
      <c r="P65" s="52">
        <f>+'22'!N90</f>
        <v>0</v>
      </c>
      <c r="Q65" s="52">
        <f>+'22'!O90</f>
        <v>0</v>
      </c>
      <c r="R65" s="12">
        <f>SUM(F65:Q65)/_No_Mths.</f>
        <v>0</v>
      </c>
      <c r="S65" s="12">
        <f>R65-E65</f>
        <v>0</v>
      </c>
    </row>
    <row r="66" spans="1:19" x14ac:dyDescent="0.2">
      <c r="A66" s="29"/>
      <c r="B66" s="28" t="s">
        <v>127</v>
      </c>
      <c r="C66" s="38"/>
      <c r="D66" s="38"/>
      <c r="E66" s="30">
        <v>0</v>
      </c>
      <c r="F66" s="30">
        <f>SUM(F61:F65)</f>
        <v>0</v>
      </c>
      <c r="G66" s="30">
        <f t="shared" ref="G66:R66" si="15">SUM(G61:G65)</f>
        <v>0</v>
      </c>
      <c r="H66" s="30">
        <f>SUM(H61:H65)</f>
        <v>0</v>
      </c>
      <c r="I66" s="30">
        <f>SUM(I61:I65)</f>
        <v>2</v>
      </c>
      <c r="J66" s="30">
        <f t="shared" si="15"/>
        <v>0</v>
      </c>
      <c r="K66" s="30">
        <f t="shared" si="15"/>
        <v>0</v>
      </c>
      <c r="L66" s="30">
        <f t="shared" si="15"/>
        <v>0</v>
      </c>
      <c r="M66" s="30">
        <f t="shared" si="15"/>
        <v>0</v>
      </c>
      <c r="N66" s="30">
        <f t="shared" si="15"/>
        <v>0</v>
      </c>
      <c r="O66" s="30">
        <f t="shared" ref="O66:Q66" si="16">SUM(O61:O65)</f>
        <v>0</v>
      </c>
      <c r="P66" s="30">
        <f t="shared" si="16"/>
        <v>0</v>
      </c>
      <c r="Q66" s="30">
        <f t="shared" si="16"/>
        <v>0</v>
      </c>
      <c r="R66" s="30">
        <f t="shared" si="15"/>
        <v>0.5</v>
      </c>
      <c r="S66" s="30">
        <f>SUM(S61:S65)</f>
        <v>0.5</v>
      </c>
    </row>
    <row r="67" spans="1:19" ht="4.5" customHeight="1" x14ac:dyDescent="0.2">
      <c r="B67" s="19"/>
      <c r="C67" s="37"/>
      <c r="D67" s="37"/>
      <c r="E67" s="52"/>
      <c r="F67" s="52"/>
      <c r="G67" s="53"/>
      <c r="H67" s="53"/>
      <c r="I67" s="52"/>
      <c r="J67" s="52"/>
      <c r="K67" s="52"/>
      <c r="L67" s="52"/>
      <c r="M67" s="52"/>
      <c r="N67" s="52"/>
      <c r="O67" s="52"/>
      <c r="P67" s="52"/>
      <c r="Q67" s="52"/>
      <c r="R67" s="13"/>
      <c r="S67" s="13"/>
    </row>
    <row r="68" spans="1:19" x14ac:dyDescent="0.2">
      <c r="A68" s="29"/>
      <c r="B68" s="28" t="s">
        <v>128</v>
      </c>
      <c r="C68" s="38" t="s">
        <v>22</v>
      </c>
      <c r="D68" s="38"/>
      <c r="E68" s="30">
        <v>0</v>
      </c>
      <c r="F68" s="30">
        <f>+'22'!D91</f>
        <v>0</v>
      </c>
      <c r="G68" s="30">
        <f>+'22'!E91</f>
        <v>0</v>
      </c>
      <c r="H68" s="30">
        <f>+'22'!F91</f>
        <v>0</v>
      </c>
      <c r="I68" s="30">
        <f>+'22'!G91</f>
        <v>0</v>
      </c>
      <c r="J68" s="30">
        <f>+'22'!H91</f>
        <v>0</v>
      </c>
      <c r="K68" s="30">
        <f>+'22'!I91</f>
        <v>0</v>
      </c>
      <c r="L68" s="30">
        <f>+'22'!J91</f>
        <v>0</v>
      </c>
      <c r="M68" s="30">
        <f>+'22'!K91</f>
        <v>0</v>
      </c>
      <c r="N68" s="30">
        <f>+'22'!L91</f>
        <v>0</v>
      </c>
      <c r="O68" s="30">
        <f>+'22'!M91</f>
        <v>0</v>
      </c>
      <c r="P68" s="30">
        <f>+'22'!N91</f>
        <v>0</v>
      </c>
      <c r="Q68" s="30">
        <f>+'22'!O91</f>
        <v>0</v>
      </c>
      <c r="R68" s="30">
        <f>SUM(F68:Q68)/_No_Mths.</f>
        <v>0</v>
      </c>
      <c r="S68" s="30">
        <f>R68-E68</f>
        <v>0</v>
      </c>
    </row>
    <row r="69" spans="1:19" ht="6.75" customHeight="1" x14ac:dyDescent="0.2">
      <c r="B69" s="19"/>
      <c r="C69" s="37"/>
      <c r="D69" s="37"/>
      <c r="E69" s="52"/>
      <c r="F69" s="52"/>
      <c r="G69" s="53"/>
      <c r="H69" s="53"/>
      <c r="I69" s="52"/>
      <c r="J69" s="52"/>
      <c r="K69" s="52"/>
      <c r="L69" s="52"/>
      <c r="M69" s="52"/>
      <c r="N69" s="52"/>
      <c r="O69" s="52"/>
      <c r="P69" s="52"/>
      <c r="Q69" s="52"/>
      <c r="R69" s="13"/>
      <c r="S69" s="13"/>
    </row>
    <row r="70" spans="1:19" x14ac:dyDescent="0.2">
      <c r="B70" s="20" t="s">
        <v>63</v>
      </c>
      <c r="C70" s="37" t="s">
        <v>24</v>
      </c>
      <c r="D70" s="37" t="s">
        <v>165</v>
      </c>
      <c r="E70" s="52">
        <v>907.08333333333337</v>
      </c>
      <c r="F70" s="52">
        <f>+'22'!D30</f>
        <v>792</v>
      </c>
      <c r="G70" s="52">
        <f>+'22'!E30</f>
        <v>805</v>
      </c>
      <c r="H70" s="52">
        <f>+'22'!F30</f>
        <v>831</v>
      </c>
      <c r="I70" s="52">
        <f>+'22'!G30</f>
        <v>842</v>
      </c>
      <c r="J70" s="52">
        <f>+'22'!H30</f>
        <v>0</v>
      </c>
      <c r="K70" s="52">
        <f>+'22'!I30</f>
        <v>0</v>
      </c>
      <c r="L70" s="52">
        <f>+'22'!J30</f>
        <v>0</v>
      </c>
      <c r="M70" s="52">
        <f>+'22'!K30</f>
        <v>0</v>
      </c>
      <c r="N70" s="52">
        <f>+'22'!L30</f>
        <v>0</v>
      </c>
      <c r="O70" s="52">
        <f>+'22'!M30</f>
        <v>0</v>
      </c>
      <c r="P70" s="52">
        <f>+'22'!N30</f>
        <v>0</v>
      </c>
      <c r="Q70" s="52">
        <f>+'22'!O30</f>
        <v>0</v>
      </c>
      <c r="R70" s="12">
        <f>SUM(F70:Q70)/_No_Mths.</f>
        <v>817.5</v>
      </c>
      <c r="S70" s="12">
        <f>R70-E70</f>
        <v>-89.583333333333371</v>
      </c>
    </row>
    <row r="71" spans="1:19" x14ac:dyDescent="0.2">
      <c r="B71" s="20" t="s">
        <v>64</v>
      </c>
      <c r="C71" s="37" t="s">
        <v>24</v>
      </c>
      <c r="D71" s="37"/>
      <c r="E71" s="52">
        <v>0</v>
      </c>
      <c r="F71" s="52">
        <f>+'22'!D31</f>
        <v>0</v>
      </c>
      <c r="G71" s="52">
        <f>+'22'!E31</f>
        <v>0</v>
      </c>
      <c r="H71" s="52">
        <f>+'22'!F31</f>
        <v>0</v>
      </c>
      <c r="I71" s="52">
        <f>+'22'!G31</f>
        <v>0</v>
      </c>
      <c r="J71" s="52">
        <f>+'22'!H31</f>
        <v>0</v>
      </c>
      <c r="K71" s="52">
        <f>+'22'!I31</f>
        <v>0</v>
      </c>
      <c r="L71" s="52">
        <f>+'22'!J31</f>
        <v>0</v>
      </c>
      <c r="M71" s="52">
        <f>+'22'!K31</f>
        <v>0</v>
      </c>
      <c r="N71" s="52">
        <f>+'22'!L31</f>
        <v>0</v>
      </c>
      <c r="O71" s="52">
        <f>+'22'!M31</f>
        <v>0</v>
      </c>
      <c r="P71" s="52">
        <f>+'22'!N31</f>
        <v>0</v>
      </c>
      <c r="Q71" s="52">
        <f>+'22'!O31</f>
        <v>0</v>
      </c>
      <c r="R71" s="12">
        <f>SUM(F71:Q71)/_No_Mths.</f>
        <v>0</v>
      </c>
      <c r="S71" s="12">
        <f>R71-E71</f>
        <v>0</v>
      </c>
    </row>
    <row r="72" spans="1:19" x14ac:dyDescent="0.2">
      <c r="B72" s="20" t="s">
        <v>65</v>
      </c>
      <c r="C72" s="37" t="s">
        <v>24</v>
      </c>
      <c r="D72" s="37" t="s">
        <v>166</v>
      </c>
      <c r="E72" s="52">
        <v>215.66666666666666</v>
      </c>
      <c r="F72" s="52">
        <f>+'22'!D32</f>
        <v>196</v>
      </c>
      <c r="G72" s="52">
        <f>+'22'!E32</f>
        <v>199</v>
      </c>
      <c r="H72" s="52">
        <f>+'22'!F32</f>
        <v>204</v>
      </c>
      <c r="I72" s="52">
        <f>+'22'!G32</f>
        <v>194</v>
      </c>
      <c r="J72" s="52">
        <f>+'22'!H32</f>
        <v>0</v>
      </c>
      <c r="K72" s="52">
        <f>+'22'!I32</f>
        <v>0</v>
      </c>
      <c r="L72" s="52">
        <f>+'22'!J32</f>
        <v>0</v>
      </c>
      <c r="M72" s="52">
        <f>+'22'!K32</f>
        <v>0</v>
      </c>
      <c r="N72" s="52">
        <f>+'22'!L32</f>
        <v>0</v>
      </c>
      <c r="O72" s="52">
        <f>+'22'!M32</f>
        <v>0</v>
      </c>
      <c r="P72" s="52">
        <f>+'22'!N32</f>
        <v>0</v>
      </c>
      <c r="Q72" s="52">
        <f>+'22'!O32</f>
        <v>0</v>
      </c>
      <c r="R72" s="12">
        <f>SUM(F72:Q72)/_No_Mths.</f>
        <v>198.25</v>
      </c>
      <c r="S72" s="12">
        <f>R72-E72</f>
        <v>-17.416666666666657</v>
      </c>
    </row>
    <row r="73" spans="1:19" x14ac:dyDescent="0.2">
      <c r="B73" s="20" t="s">
        <v>66</v>
      </c>
      <c r="C73" s="37" t="s">
        <v>24</v>
      </c>
      <c r="D73" s="37" t="s">
        <v>166</v>
      </c>
      <c r="E73" s="52">
        <v>477.08333333333331</v>
      </c>
      <c r="F73" s="52">
        <f>+'22'!D33</f>
        <v>476</v>
      </c>
      <c r="G73" s="52">
        <f>+'22'!E33</f>
        <v>484</v>
      </c>
      <c r="H73" s="52">
        <f>+'22'!F33</f>
        <v>493</v>
      </c>
      <c r="I73" s="52">
        <f>+'22'!G33</f>
        <v>489</v>
      </c>
      <c r="J73" s="52">
        <f>+'22'!H33</f>
        <v>0</v>
      </c>
      <c r="K73" s="52">
        <f>+'22'!I33</f>
        <v>0</v>
      </c>
      <c r="L73" s="52">
        <f>+'22'!J33</f>
        <v>0</v>
      </c>
      <c r="M73" s="52">
        <f>+'22'!K33</f>
        <v>0</v>
      </c>
      <c r="N73" s="52">
        <f>+'22'!L33</f>
        <v>0</v>
      </c>
      <c r="O73" s="52">
        <f>+'22'!M33</f>
        <v>0</v>
      </c>
      <c r="P73" s="52">
        <f>+'22'!N33</f>
        <v>0</v>
      </c>
      <c r="Q73" s="52">
        <f>+'22'!O33</f>
        <v>0</v>
      </c>
      <c r="R73" s="12">
        <f>SUM(F73:Q73)/_No_Mths.</f>
        <v>485.5</v>
      </c>
      <c r="S73" s="12">
        <f>R73-E73</f>
        <v>8.4166666666666856</v>
      </c>
    </row>
    <row r="74" spans="1:19" x14ac:dyDescent="0.2">
      <c r="A74" s="29"/>
      <c r="B74" s="28" t="s">
        <v>129</v>
      </c>
      <c r="C74" s="38"/>
      <c r="D74" s="38"/>
      <c r="E74" s="30">
        <v>1599.8333333333333</v>
      </c>
      <c r="F74" s="30">
        <f>SUM(F70:F73)</f>
        <v>1464</v>
      </c>
      <c r="G74" s="30">
        <f t="shared" ref="G74:R74" si="17">SUM(G70:G73)</f>
        <v>1488</v>
      </c>
      <c r="H74" s="30">
        <f>SUM(H70:H73)</f>
        <v>1528</v>
      </c>
      <c r="I74" s="30">
        <f>SUM(I70:I73)</f>
        <v>1525</v>
      </c>
      <c r="J74" s="30">
        <f t="shared" si="17"/>
        <v>0</v>
      </c>
      <c r="K74" s="30">
        <f t="shared" si="17"/>
        <v>0</v>
      </c>
      <c r="L74" s="30">
        <f t="shared" si="17"/>
        <v>0</v>
      </c>
      <c r="M74" s="30">
        <f t="shared" si="17"/>
        <v>0</v>
      </c>
      <c r="N74" s="30">
        <f t="shared" si="17"/>
        <v>0</v>
      </c>
      <c r="O74" s="30">
        <f t="shared" ref="O74:Q74" si="18">SUM(O70:O73)</f>
        <v>0</v>
      </c>
      <c r="P74" s="30">
        <f t="shared" si="18"/>
        <v>0</v>
      </c>
      <c r="Q74" s="30">
        <f t="shared" si="18"/>
        <v>0</v>
      </c>
      <c r="R74" s="30">
        <f t="shared" si="17"/>
        <v>1501.25</v>
      </c>
      <c r="S74" s="30">
        <f>SUM(S70:S73)</f>
        <v>-98.583333333333343</v>
      </c>
    </row>
    <row r="75" spans="1:19" ht="5.25" customHeight="1" x14ac:dyDescent="0.2">
      <c r="B75" s="36"/>
      <c r="C75" s="37"/>
      <c r="D75" s="37"/>
      <c r="E75" s="52"/>
      <c r="F75" s="52"/>
      <c r="G75" s="53"/>
      <c r="H75" s="53"/>
      <c r="I75" s="53"/>
      <c r="J75" s="53"/>
      <c r="K75" s="52"/>
      <c r="L75" s="52"/>
      <c r="M75" s="52"/>
      <c r="N75" s="52"/>
      <c r="O75" s="52"/>
      <c r="P75" s="52"/>
      <c r="Q75" s="52"/>
      <c r="R75" s="13"/>
      <c r="S75" s="13"/>
    </row>
    <row r="76" spans="1:19" x14ac:dyDescent="0.2">
      <c r="A76" s="29"/>
      <c r="B76" s="33" t="s">
        <v>130</v>
      </c>
      <c r="C76" s="38" t="s">
        <v>25</v>
      </c>
      <c r="D76" s="105" t="s">
        <v>166</v>
      </c>
      <c r="E76" s="30">
        <v>18.083333333333332</v>
      </c>
      <c r="F76" s="30">
        <f>+'22'!D34</f>
        <v>15</v>
      </c>
      <c r="G76" s="30">
        <f>+'22'!E34</f>
        <v>21</v>
      </c>
      <c r="H76" s="30">
        <f>+'22'!F34</f>
        <v>13</v>
      </c>
      <c r="I76" s="30">
        <f>+'22'!G34</f>
        <v>18</v>
      </c>
      <c r="J76" s="30">
        <f>+'22'!H34</f>
        <v>0</v>
      </c>
      <c r="K76" s="30">
        <f>+'22'!I34</f>
        <v>0</v>
      </c>
      <c r="L76" s="30">
        <f>+'22'!J34</f>
        <v>0</v>
      </c>
      <c r="M76" s="30">
        <f>+'22'!K34</f>
        <v>0</v>
      </c>
      <c r="N76" s="30">
        <f>+'22'!L34</f>
        <v>0</v>
      </c>
      <c r="O76" s="30">
        <f>+'22'!M34</f>
        <v>0</v>
      </c>
      <c r="P76" s="30">
        <f>+'22'!N34</f>
        <v>0</v>
      </c>
      <c r="Q76" s="30">
        <f>+'22'!O34</f>
        <v>0</v>
      </c>
      <c r="R76" s="30">
        <f>SUM(F76:Q76)/_No_Mths.</f>
        <v>16.75</v>
      </c>
      <c r="S76" s="30">
        <f>R76-E76</f>
        <v>-1.3333333333333321</v>
      </c>
    </row>
    <row r="77" spans="1:19" ht="6" customHeight="1" x14ac:dyDescent="0.2">
      <c r="B77" s="35"/>
      <c r="C77" s="37"/>
      <c r="D77" s="37"/>
      <c r="E77" s="52"/>
      <c r="F77" s="52"/>
      <c r="G77" s="53"/>
      <c r="H77" s="53"/>
      <c r="I77" s="53"/>
      <c r="J77" s="53"/>
      <c r="K77" s="52"/>
      <c r="L77" s="52"/>
      <c r="M77" s="52"/>
      <c r="N77" s="52"/>
      <c r="O77" s="52"/>
      <c r="P77" s="52"/>
      <c r="Q77" s="52"/>
      <c r="R77" s="13"/>
      <c r="S77" s="13"/>
    </row>
    <row r="78" spans="1:19" x14ac:dyDescent="0.2">
      <c r="B78" s="35" t="s">
        <v>87</v>
      </c>
      <c r="C78" s="37" t="s">
        <v>26</v>
      </c>
      <c r="D78" s="37"/>
      <c r="E78" s="52">
        <v>0</v>
      </c>
      <c r="F78" s="52">
        <f>+'22'!D63</f>
        <v>0</v>
      </c>
      <c r="G78" s="52">
        <f>+'22'!E63</f>
        <v>0</v>
      </c>
      <c r="H78" s="52">
        <f>+'22'!F63</f>
        <v>0</v>
      </c>
      <c r="I78" s="52">
        <f>+'22'!G63</f>
        <v>0</v>
      </c>
      <c r="J78" s="52">
        <f>+'22'!H63</f>
        <v>0</v>
      </c>
      <c r="K78" s="52">
        <f>+'22'!I63</f>
        <v>0</v>
      </c>
      <c r="L78" s="52">
        <f>+'22'!J63</f>
        <v>0</v>
      </c>
      <c r="M78" s="52">
        <f>+'22'!K63</f>
        <v>0</v>
      </c>
      <c r="N78" s="52">
        <f>+'22'!L63</f>
        <v>0</v>
      </c>
      <c r="O78" s="52">
        <f>+'22'!M63</f>
        <v>0</v>
      </c>
      <c r="P78" s="52">
        <f>+'22'!N63</f>
        <v>0</v>
      </c>
      <c r="Q78" s="52">
        <f>+'22'!O63</f>
        <v>0</v>
      </c>
      <c r="R78" s="12">
        <f>SUM(F78:Q78)/_No_Mths.</f>
        <v>0</v>
      </c>
      <c r="S78" s="12">
        <f>R78-E78</f>
        <v>0</v>
      </c>
    </row>
    <row r="79" spans="1:19" x14ac:dyDescent="0.2">
      <c r="B79" s="35" t="s">
        <v>88</v>
      </c>
      <c r="C79" s="37" t="s">
        <v>26</v>
      </c>
      <c r="D79" s="37"/>
      <c r="E79" s="52">
        <v>0</v>
      </c>
      <c r="F79" s="52">
        <f>+'22'!D64</f>
        <v>0</v>
      </c>
      <c r="G79" s="52">
        <f>+'22'!E64</f>
        <v>0</v>
      </c>
      <c r="H79" s="52">
        <f>+'22'!F64</f>
        <v>0</v>
      </c>
      <c r="I79" s="52">
        <f>+'22'!G64</f>
        <v>0</v>
      </c>
      <c r="J79" s="52">
        <f>+'22'!H64</f>
        <v>0</v>
      </c>
      <c r="K79" s="52">
        <f>+'22'!I64</f>
        <v>0</v>
      </c>
      <c r="L79" s="52">
        <f>+'22'!J64</f>
        <v>0</v>
      </c>
      <c r="M79" s="52">
        <f>+'22'!K64</f>
        <v>0</v>
      </c>
      <c r="N79" s="52">
        <f>+'22'!L64</f>
        <v>0</v>
      </c>
      <c r="O79" s="52">
        <f>+'22'!M64</f>
        <v>0</v>
      </c>
      <c r="P79" s="52">
        <f>+'22'!N64</f>
        <v>0</v>
      </c>
      <c r="Q79" s="52">
        <f>+'22'!O64</f>
        <v>0</v>
      </c>
      <c r="R79" s="12">
        <f>SUM(F79:Q79)/_No_Mths.</f>
        <v>0</v>
      </c>
      <c r="S79" s="12">
        <f>R79-E79</f>
        <v>0</v>
      </c>
    </row>
    <row r="80" spans="1:19" x14ac:dyDescent="0.2">
      <c r="B80" s="35" t="s">
        <v>97</v>
      </c>
      <c r="C80" s="37" t="s">
        <v>26</v>
      </c>
      <c r="D80" s="37"/>
      <c r="E80" s="52">
        <v>0</v>
      </c>
      <c r="F80" s="52">
        <f>+'22'!D73</f>
        <v>0</v>
      </c>
      <c r="G80" s="52">
        <f>+'22'!E73</f>
        <v>0</v>
      </c>
      <c r="H80" s="52">
        <f>+'22'!F73</f>
        <v>0</v>
      </c>
      <c r="I80" s="52">
        <f>+'22'!G73</f>
        <v>0</v>
      </c>
      <c r="J80" s="52">
        <f>+'22'!H73</f>
        <v>0</v>
      </c>
      <c r="K80" s="52">
        <f>+'22'!I73</f>
        <v>0</v>
      </c>
      <c r="L80" s="52">
        <f>+'22'!J73</f>
        <v>0</v>
      </c>
      <c r="M80" s="52">
        <f>+'22'!K73</f>
        <v>0</v>
      </c>
      <c r="N80" s="52">
        <f>+'22'!L73</f>
        <v>0</v>
      </c>
      <c r="O80" s="52">
        <f>+'22'!M73</f>
        <v>0</v>
      </c>
      <c r="P80" s="52">
        <f>+'22'!N73</f>
        <v>0</v>
      </c>
      <c r="Q80" s="52">
        <f>+'22'!O73</f>
        <v>0</v>
      </c>
      <c r="R80" s="12">
        <f>SUM(F80:Q80)/_No_Mths.</f>
        <v>0</v>
      </c>
      <c r="S80" s="12">
        <f>R80-E80</f>
        <v>0</v>
      </c>
    </row>
    <row r="81" spans="1:19" x14ac:dyDescent="0.2">
      <c r="A81" s="29"/>
      <c r="B81" s="28" t="s">
        <v>131</v>
      </c>
      <c r="C81" s="38"/>
      <c r="D81" s="38"/>
      <c r="E81" s="30">
        <v>0</v>
      </c>
      <c r="F81" s="30">
        <f>SUM(F78:F80)</f>
        <v>0</v>
      </c>
      <c r="G81" s="30">
        <f t="shared" ref="G81:R81" si="19">SUM(G78:G80)</f>
        <v>0</v>
      </c>
      <c r="H81" s="30">
        <f t="shared" si="19"/>
        <v>0</v>
      </c>
      <c r="I81" s="30">
        <f t="shared" si="19"/>
        <v>0</v>
      </c>
      <c r="J81" s="30">
        <f t="shared" si="19"/>
        <v>0</v>
      </c>
      <c r="K81" s="30">
        <f t="shared" si="19"/>
        <v>0</v>
      </c>
      <c r="L81" s="30">
        <f t="shared" si="19"/>
        <v>0</v>
      </c>
      <c r="M81" s="30">
        <f t="shared" si="19"/>
        <v>0</v>
      </c>
      <c r="N81" s="30">
        <f t="shared" si="19"/>
        <v>0</v>
      </c>
      <c r="O81" s="30">
        <f t="shared" ref="O81:Q81" si="20">SUM(O78:O80)</f>
        <v>0</v>
      </c>
      <c r="P81" s="30">
        <f t="shared" si="20"/>
        <v>0</v>
      </c>
      <c r="Q81" s="30">
        <f t="shared" si="20"/>
        <v>0</v>
      </c>
      <c r="R81" s="30">
        <f t="shared" si="19"/>
        <v>0</v>
      </c>
      <c r="S81" s="30">
        <v>0</v>
      </c>
    </row>
    <row r="82" spans="1:19" ht="3.75" customHeight="1" x14ac:dyDescent="0.2">
      <c r="B82" s="19"/>
      <c r="C82" s="37"/>
      <c r="D82" s="37"/>
      <c r="E82" s="52"/>
      <c r="F82" s="52"/>
      <c r="G82" s="53"/>
      <c r="H82" s="53"/>
      <c r="I82" s="52"/>
      <c r="J82" s="52"/>
      <c r="K82" s="52"/>
      <c r="L82" s="52"/>
      <c r="M82" s="52"/>
      <c r="N82" s="52"/>
      <c r="O82" s="52"/>
      <c r="P82" s="52"/>
      <c r="Q82" s="52"/>
      <c r="R82" s="13"/>
      <c r="S82" s="13"/>
    </row>
    <row r="83" spans="1:19" x14ac:dyDescent="0.2">
      <c r="B83" s="19" t="s">
        <v>85</v>
      </c>
      <c r="C83" s="37" t="s">
        <v>27</v>
      </c>
      <c r="D83" s="37" t="s">
        <v>168</v>
      </c>
      <c r="E83" s="52">
        <v>0</v>
      </c>
      <c r="F83" s="52">
        <f>+'22'!D61</f>
        <v>0</v>
      </c>
      <c r="G83" s="52">
        <f>+'22'!E61</f>
        <v>0</v>
      </c>
      <c r="H83" s="52">
        <f>+'22'!F61</f>
        <v>0</v>
      </c>
      <c r="I83" s="52">
        <f>+'22'!G61</f>
        <v>0</v>
      </c>
      <c r="J83" s="52">
        <f>+'22'!H61</f>
        <v>0</v>
      </c>
      <c r="K83" s="52">
        <f>+'22'!I61</f>
        <v>0</v>
      </c>
      <c r="L83" s="52">
        <f>+'22'!J61</f>
        <v>0</v>
      </c>
      <c r="M83" s="52">
        <f>+'22'!K61</f>
        <v>0</v>
      </c>
      <c r="N83" s="52">
        <f>+'22'!L61</f>
        <v>0</v>
      </c>
      <c r="O83" s="52">
        <f>+'22'!M61</f>
        <v>0</v>
      </c>
      <c r="P83" s="52">
        <f>+'22'!N61</f>
        <v>0</v>
      </c>
      <c r="Q83" s="52">
        <f>+'22'!O61</f>
        <v>0</v>
      </c>
      <c r="R83" s="12">
        <f>SUM(F83:Q83)/_No_Mths.</f>
        <v>0</v>
      </c>
      <c r="S83" s="12">
        <f>R83-E83</f>
        <v>0</v>
      </c>
    </row>
    <row r="84" spans="1:19" x14ac:dyDescent="0.2">
      <c r="B84" s="19" t="s">
        <v>86</v>
      </c>
      <c r="C84" s="37" t="s">
        <v>27</v>
      </c>
      <c r="D84" s="37" t="s">
        <v>168</v>
      </c>
      <c r="E84" s="52">
        <v>8.3333333333333329E-2</v>
      </c>
      <c r="F84" s="52">
        <f>+'22'!D62</f>
        <v>0</v>
      </c>
      <c r="G84" s="52">
        <f>+'22'!E62</f>
        <v>0</v>
      </c>
      <c r="H84" s="52">
        <f>+'22'!F62</f>
        <v>0</v>
      </c>
      <c r="I84" s="52">
        <f>+'22'!G62</f>
        <v>0</v>
      </c>
      <c r="J84" s="52">
        <f>+'22'!H62</f>
        <v>0</v>
      </c>
      <c r="K84" s="52">
        <f>+'22'!I62</f>
        <v>0</v>
      </c>
      <c r="L84" s="52">
        <f>+'22'!J62</f>
        <v>0</v>
      </c>
      <c r="M84" s="52">
        <f>+'22'!K62</f>
        <v>0</v>
      </c>
      <c r="N84" s="52">
        <f>+'22'!L62</f>
        <v>0</v>
      </c>
      <c r="O84" s="52">
        <f>+'22'!M62</f>
        <v>0</v>
      </c>
      <c r="P84" s="52">
        <f>+'22'!N62</f>
        <v>0</v>
      </c>
      <c r="Q84" s="52">
        <f>+'22'!O62</f>
        <v>0</v>
      </c>
      <c r="R84" s="12">
        <f>SUM(F84:Q84)/_No_Mths.</f>
        <v>0</v>
      </c>
      <c r="S84" s="12">
        <f>R84-E84</f>
        <v>-8.3333333333333329E-2</v>
      </c>
    </row>
    <row r="85" spans="1:19" x14ac:dyDescent="0.2">
      <c r="B85" s="19" t="s">
        <v>95</v>
      </c>
      <c r="C85" s="37" t="s">
        <v>27</v>
      </c>
      <c r="D85" s="37" t="s">
        <v>168</v>
      </c>
      <c r="E85" s="52">
        <v>0.66666666666666663</v>
      </c>
      <c r="F85" s="52">
        <f>+'22'!D71</f>
        <v>0</v>
      </c>
      <c r="G85" s="52">
        <f>+'22'!E71</f>
        <v>0</v>
      </c>
      <c r="H85" s="52">
        <f>+'22'!F71</f>
        <v>0</v>
      </c>
      <c r="I85" s="52">
        <f>+'22'!G71</f>
        <v>0</v>
      </c>
      <c r="J85" s="52">
        <f>+'22'!H71</f>
        <v>0</v>
      </c>
      <c r="K85" s="52">
        <f>+'22'!I71</f>
        <v>0</v>
      </c>
      <c r="L85" s="52">
        <f>+'22'!J71</f>
        <v>0</v>
      </c>
      <c r="M85" s="52">
        <f>+'22'!K71</f>
        <v>0</v>
      </c>
      <c r="N85" s="52">
        <f>+'22'!L71</f>
        <v>0</v>
      </c>
      <c r="O85" s="52">
        <f>+'22'!M71</f>
        <v>0</v>
      </c>
      <c r="P85" s="52">
        <f>+'22'!N71</f>
        <v>0</v>
      </c>
      <c r="Q85" s="52">
        <f>+'22'!O71</f>
        <v>0</v>
      </c>
      <c r="R85" s="12">
        <f>SUM(F85:Q85)/_No_Mths.</f>
        <v>0</v>
      </c>
      <c r="S85" s="12">
        <f>R85-E85</f>
        <v>-0.66666666666666663</v>
      </c>
    </row>
    <row r="86" spans="1:19" x14ac:dyDescent="0.2">
      <c r="B86" s="19" t="s">
        <v>96</v>
      </c>
      <c r="C86" s="37" t="s">
        <v>27</v>
      </c>
      <c r="D86" s="37" t="s">
        <v>168</v>
      </c>
      <c r="E86" s="52">
        <v>0</v>
      </c>
      <c r="F86" s="52">
        <f>+'22'!D72</f>
        <v>0</v>
      </c>
      <c r="G86" s="52">
        <f>+'22'!E72</f>
        <v>0</v>
      </c>
      <c r="H86" s="52">
        <f>+'22'!F72</f>
        <v>0</v>
      </c>
      <c r="I86" s="52">
        <f>+'22'!G72</f>
        <v>0</v>
      </c>
      <c r="J86" s="52">
        <f>+'22'!H72</f>
        <v>0</v>
      </c>
      <c r="K86" s="52">
        <f>+'22'!I72</f>
        <v>0</v>
      </c>
      <c r="L86" s="52">
        <f>+'22'!J72</f>
        <v>0</v>
      </c>
      <c r="M86" s="52">
        <f>+'22'!K72</f>
        <v>0</v>
      </c>
      <c r="N86" s="52">
        <f>+'22'!L72</f>
        <v>0</v>
      </c>
      <c r="O86" s="52">
        <f>+'22'!M72</f>
        <v>0</v>
      </c>
      <c r="P86" s="52">
        <f>+'22'!N72</f>
        <v>0</v>
      </c>
      <c r="Q86" s="52">
        <f>+'22'!O72</f>
        <v>0</v>
      </c>
      <c r="R86" s="12">
        <f>SUM(F86:Q86)/_No_Mths.</f>
        <v>0</v>
      </c>
      <c r="S86" s="12">
        <f>R86-E86</f>
        <v>0</v>
      </c>
    </row>
    <row r="87" spans="1:19" x14ac:dyDescent="0.2">
      <c r="A87" s="29"/>
      <c r="B87" s="28" t="s">
        <v>132</v>
      </c>
      <c r="C87" s="38"/>
      <c r="D87" s="38"/>
      <c r="E87" s="30">
        <v>0.75</v>
      </c>
      <c r="F87" s="30">
        <f>SUM(F83:F86)</f>
        <v>0</v>
      </c>
      <c r="G87" s="30">
        <f t="shared" ref="G87:R87" si="21">SUM(G83:G86)</f>
        <v>0</v>
      </c>
      <c r="H87" s="30">
        <f>SUM(H83:H86)</f>
        <v>0</v>
      </c>
      <c r="I87" s="30">
        <f>SUM(I83:I86)</f>
        <v>0</v>
      </c>
      <c r="J87" s="30">
        <f t="shared" si="21"/>
        <v>0</v>
      </c>
      <c r="K87" s="30">
        <f t="shared" si="21"/>
        <v>0</v>
      </c>
      <c r="L87" s="30">
        <f t="shared" si="21"/>
        <v>0</v>
      </c>
      <c r="M87" s="30">
        <f t="shared" si="21"/>
        <v>0</v>
      </c>
      <c r="N87" s="30">
        <f t="shared" si="21"/>
        <v>0</v>
      </c>
      <c r="O87" s="30">
        <f t="shared" ref="O87:Q87" si="22">SUM(O83:O86)</f>
        <v>0</v>
      </c>
      <c r="P87" s="30">
        <f t="shared" si="22"/>
        <v>0</v>
      </c>
      <c r="Q87" s="30">
        <f t="shared" si="22"/>
        <v>0</v>
      </c>
      <c r="R87" s="30">
        <f t="shared" si="21"/>
        <v>0</v>
      </c>
      <c r="S87" s="30">
        <f>SUM(S83:S86)</f>
        <v>-0.75</v>
      </c>
    </row>
    <row r="88" spans="1:19" ht="4.5" customHeight="1" x14ac:dyDescent="0.2">
      <c r="B88" s="19"/>
      <c r="C88" s="37"/>
      <c r="D88" s="37"/>
      <c r="E88" s="52"/>
      <c r="F88" s="52"/>
      <c r="G88" s="53"/>
      <c r="H88" s="53"/>
      <c r="I88" s="52"/>
      <c r="J88" s="52"/>
      <c r="K88" s="52"/>
      <c r="L88" s="52"/>
      <c r="M88" s="52"/>
      <c r="N88" s="52"/>
      <c r="O88" s="52"/>
      <c r="P88" s="52"/>
      <c r="Q88" s="52"/>
      <c r="R88" s="13"/>
      <c r="S88" s="13"/>
    </row>
    <row r="89" spans="1:19" x14ac:dyDescent="0.2">
      <c r="B89" s="19" t="s">
        <v>89</v>
      </c>
      <c r="C89" s="37" t="s">
        <v>28</v>
      </c>
      <c r="D89" s="37" t="s">
        <v>165</v>
      </c>
      <c r="E89" s="52">
        <v>20.583333333333332</v>
      </c>
      <c r="F89" s="52">
        <f>+'22'!D65</f>
        <v>21</v>
      </c>
      <c r="G89" s="52">
        <f>+'22'!E65</f>
        <v>23</v>
      </c>
      <c r="H89" s="52">
        <f>+'22'!F65</f>
        <v>25</v>
      </c>
      <c r="I89" s="52">
        <f>+'22'!G65</f>
        <v>22</v>
      </c>
      <c r="J89" s="52">
        <f>+'22'!H65</f>
        <v>0</v>
      </c>
      <c r="K89" s="52">
        <f>+'22'!I65</f>
        <v>0</v>
      </c>
      <c r="L89" s="52">
        <f>+'22'!J65</f>
        <v>0</v>
      </c>
      <c r="M89" s="52">
        <f>+'22'!K65</f>
        <v>0</v>
      </c>
      <c r="N89" s="52">
        <f>+'22'!L65</f>
        <v>0</v>
      </c>
      <c r="O89" s="52">
        <f>+'22'!M65</f>
        <v>0</v>
      </c>
      <c r="P89" s="52">
        <f>+'22'!N65</f>
        <v>0</v>
      </c>
      <c r="Q89" s="52">
        <f>+'22'!O65</f>
        <v>0</v>
      </c>
      <c r="R89" s="12">
        <f t="shared" ref="R89:R97" si="23">SUM(F89:Q89)/_No_Mths.</f>
        <v>22.75</v>
      </c>
      <c r="S89" s="12">
        <f t="shared" ref="S89:S97" si="24">R89-E89</f>
        <v>2.1666666666666679</v>
      </c>
    </row>
    <row r="90" spans="1:19" x14ac:dyDescent="0.2">
      <c r="B90" s="19" t="s">
        <v>90</v>
      </c>
      <c r="C90" s="37" t="s">
        <v>28</v>
      </c>
      <c r="D90" s="37" t="s">
        <v>166</v>
      </c>
      <c r="E90" s="52">
        <v>0</v>
      </c>
      <c r="F90" s="52">
        <f>+'22'!D66</f>
        <v>0</v>
      </c>
      <c r="G90" s="52">
        <f>+'22'!E66</f>
        <v>0</v>
      </c>
      <c r="H90" s="52">
        <f>+'22'!F66</f>
        <v>0</v>
      </c>
      <c r="I90" s="52">
        <f>+'22'!G66</f>
        <v>0</v>
      </c>
      <c r="J90" s="52">
        <f>+'22'!H66</f>
        <v>0</v>
      </c>
      <c r="K90" s="52">
        <f>+'22'!I66</f>
        <v>0</v>
      </c>
      <c r="L90" s="52">
        <f>+'22'!J66</f>
        <v>0</v>
      </c>
      <c r="M90" s="52">
        <f>+'22'!K66</f>
        <v>0</v>
      </c>
      <c r="N90" s="52">
        <f>+'22'!L66</f>
        <v>0</v>
      </c>
      <c r="O90" s="52">
        <f>+'22'!M66</f>
        <v>0</v>
      </c>
      <c r="P90" s="52">
        <f>+'22'!N66</f>
        <v>0</v>
      </c>
      <c r="Q90" s="52">
        <f>+'22'!O66</f>
        <v>0</v>
      </c>
      <c r="R90" s="12">
        <f t="shared" si="23"/>
        <v>0</v>
      </c>
      <c r="S90" s="12">
        <f t="shared" si="24"/>
        <v>0</v>
      </c>
    </row>
    <row r="91" spans="1:19" x14ac:dyDescent="0.2">
      <c r="B91" s="19" t="s">
        <v>91</v>
      </c>
      <c r="C91" s="37" t="s">
        <v>28</v>
      </c>
      <c r="D91" s="37" t="s">
        <v>166</v>
      </c>
      <c r="E91" s="52">
        <v>0</v>
      </c>
      <c r="F91" s="52">
        <f>+'22'!D67</f>
        <v>0</v>
      </c>
      <c r="G91" s="52">
        <f>+'22'!E67</f>
        <v>0</v>
      </c>
      <c r="H91" s="52">
        <f>+'22'!F67</f>
        <v>0</v>
      </c>
      <c r="I91" s="52">
        <f>+'22'!G67</f>
        <v>0</v>
      </c>
      <c r="J91" s="52">
        <f>+'22'!H67</f>
        <v>0</v>
      </c>
      <c r="K91" s="52">
        <f>+'22'!I67</f>
        <v>0</v>
      </c>
      <c r="L91" s="52">
        <f>+'22'!J67</f>
        <v>0</v>
      </c>
      <c r="M91" s="52">
        <f>+'22'!K67</f>
        <v>0</v>
      </c>
      <c r="N91" s="52">
        <f>+'22'!L67</f>
        <v>0</v>
      </c>
      <c r="O91" s="52">
        <f>+'22'!M67</f>
        <v>0</v>
      </c>
      <c r="P91" s="52">
        <f>+'22'!N67</f>
        <v>0</v>
      </c>
      <c r="Q91" s="52">
        <f>+'22'!O67</f>
        <v>0</v>
      </c>
      <c r="R91" s="12">
        <f t="shared" si="23"/>
        <v>0</v>
      </c>
      <c r="S91" s="12">
        <f t="shared" si="24"/>
        <v>0</v>
      </c>
    </row>
    <row r="92" spans="1:19" x14ac:dyDescent="0.2">
      <c r="B92" s="19" t="s">
        <v>92</v>
      </c>
      <c r="C92" s="37" t="s">
        <v>28</v>
      </c>
      <c r="D92" s="37" t="s">
        <v>166</v>
      </c>
      <c r="E92" s="52">
        <v>4.75</v>
      </c>
      <c r="F92" s="52">
        <f>+'22'!D68</f>
        <v>4</v>
      </c>
      <c r="G92" s="52">
        <f>+'22'!E68</f>
        <v>6</v>
      </c>
      <c r="H92" s="52">
        <f>+'22'!F68</f>
        <v>5</v>
      </c>
      <c r="I92" s="52">
        <f>+'22'!G68</f>
        <v>5</v>
      </c>
      <c r="J92" s="52">
        <f>+'22'!H68</f>
        <v>0</v>
      </c>
      <c r="K92" s="52">
        <f>+'22'!I68</f>
        <v>0</v>
      </c>
      <c r="L92" s="52">
        <f>+'22'!J68</f>
        <v>0</v>
      </c>
      <c r="M92" s="52">
        <f>+'22'!K68</f>
        <v>0</v>
      </c>
      <c r="N92" s="52">
        <f>+'22'!L68</f>
        <v>0</v>
      </c>
      <c r="O92" s="52">
        <f>+'22'!M68</f>
        <v>0</v>
      </c>
      <c r="P92" s="52">
        <f>+'22'!N68</f>
        <v>0</v>
      </c>
      <c r="Q92" s="52">
        <f>+'22'!O68</f>
        <v>0</v>
      </c>
      <c r="R92" s="12">
        <f t="shared" si="23"/>
        <v>5</v>
      </c>
      <c r="S92" s="12">
        <f t="shared" si="24"/>
        <v>0.25</v>
      </c>
    </row>
    <row r="93" spans="1:19" x14ac:dyDescent="0.2">
      <c r="B93" s="19" t="s">
        <v>93</v>
      </c>
      <c r="C93" s="37" t="s">
        <v>28</v>
      </c>
      <c r="D93" s="37" t="s">
        <v>166</v>
      </c>
      <c r="E93" s="52">
        <v>0</v>
      </c>
      <c r="F93" s="52">
        <f>+'22'!D69</f>
        <v>0</v>
      </c>
      <c r="G93" s="52">
        <f>+'22'!E69</f>
        <v>0</v>
      </c>
      <c r="H93" s="52">
        <f>+'22'!F69</f>
        <v>0</v>
      </c>
      <c r="I93" s="52">
        <f>+'22'!G69</f>
        <v>0</v>
      </c>
      <c r="J93" s="52">
        <f>+'22'!H69</f>
        <v>0</v>
      </c>
      <c r="K93" s="52">
        <f>+'22'!I69</f>
        <v>0</v>
      </c>
      <c r="L93" s="52">
        <f>+'22'!J69</f>
        <v>0</v>
      </c>
      <c r="M93" s="52">
        <f>+'22'!K69</f>
        <v>0</v>
      </c>
      <c r="N93" s="52">
        <f>+'22'!L69</f>
        <v>0</v>
      </c>
      <c r="O93" s="52">
        <f>+'22'!M69</f>
        <v>0</v>
      </c>
      <c r="P93" s="52">
        <f>+'22'!N69</f>
        <v>0</v>
      </c>
      <c r="Q93" s="52">
        <f>+'22'!O69</f>
        <v>0</v>
      </c>
      <c r="R93" s="12">
        <f t="shared" si="23"/>
        <v>0</v>
      </c>
      <c r="S93" s="12">
        <f t="shared" si="24"/>
        <v>0</v>
      </c>
    </row>
    <row r="94" spans="1:19" x14ac:dyDescent="0.2">
      <c r="B94" s="19" t="s">
        <v>98</v>
      </c>
      <c r="C94" s="37" t="s">
        <v>28</v>
      </c>
      <c r="D94" s="37" t="s">
        <v>165</v>
      </c>
      <c r="E94" s="52">
        <v>0</v>
      </c>
      <c r="F94" s="52">
        <f>+'22'!D74</f>
        <v>0</v>
      </c>
      <c r="G94" s="52">
        <f>+'22'!E74</f>
        <v>0</v>
      </c>
      <c r="H94" s="52">
        <f>+'22'!F74</f>
        <v>0</v>
      </c>
      <c r="I94" s="52">
        <f>+'22'!G74</f>
        <v>0</v>
      </c>
      <c r="J94" s="52">
        <f>+'22'!H74</f>
        <v>0</v>
      </c>
      <c r="K94" s="52">
        <f>+'22'!I74</f>
        <v>0</v>
      </c>
      <c r="L94" s="52">
        <f>+'22'!J74</f>
        <v>0</v>
      </c>
      <c r="M94" s="52">
        <f>+'22'!K74</f>
        <v>0</v>
      </c>
      <c r="N94" s="52">
        <f>+'22'!L74</f>
        <v>0</v>
      </c>
      <c r="O94" s="52">
        <f>+'22'!M74</f>
        <v>0</v>
      </c>
      <c r="P94" s="52">
        <f>+'22'!N74</f>
        <v>0</v>
      </c>
      <c r="Q94" s="52">
        <f>+'22'!O74</f>
        <v>0</v>
      </c>
      <c r="R94" s="12">
        <f t="shared" si="23"/>
        <v>0</v>
      </c>
      <c r="S94" s="12">
        <f t="shared" si="24"/>
        <v>0</v>
      </c>
    </row>
    <row r="95" spans="1:19" x14ac:dyDescent="0.2">
      <c r="B95" s="19" t="s">
        <v>99</v>
      </c>
      <c r="C95" s="37" t="s">
        <v>28</v>
      </c>
      <c r="D95" s="37" t="s">
        <v>166</v>
      </c>
      <c r="E95" s="52">
        <v>0</v>
      </c>
      <c r="F95" s="52">
        <f>+'22'!D75</f>
        <v>0</v>
      </c>
      <c r="G95" s="52">
        <f>+'22'!E75</f>
        <v>0</v>
      </c>
      <c r="H95" s="52">
        <f>+'22'!F75</f>
        <v>0</v>
      </c>
      <c r="I95" s="52">
        <f>+'22'!G75</f>
        <v>0</v>
      </c>
      <c r="J95" s="52">
        <f>+'22'!H75</f>
        <v>0</v>
      </c>
      <c r="K95" s="52">
        <f>+'22'!I75</f>
        <v>0</v>
      </c>
      <c r="L95" s="52">
        <f>+'22'!J75</f>
        <v>0</v>
      </c>
      <c r="M95" s="52">
        <f>+'22'!K75</f>
        <v>0</v>
      </c>
      <c r="N95" s="52">
        <f>+'22'!L75</f>
        <v>0</v>
      </c>
      <c r="O95" s="52">
        <f>+'22'!M75</f>
        <v>0</v>
      </c>
      <c r="P95" s="52">
        <f>+'22'!N75</f>
        <v>0</v>
      </c>
      <c r="Q95" s="52">
        <f>+'22'!O75</f>
        <v>0</v>
      </c>
      <c r="R95" s="12">
        <f t="shared" si="23"/>
        <v>0</v>
      </c>
      <c r="S95" s="12">
        <f t="shared" si="24"/>
        <v>0</v>
      </c>
    </row>
    <row r="96" spans="1:19" x14ac:dyDescent="0.2">
      <c r="B96" s="19" t="s">
        <v>100</v>
      </c>
      <c r="C96" s="37" t="s">
        <v>28</v>
      </c>
      <c r="D96" s="37" t="s">
        <v>166</v>
      </c>
      <c r="E96" s="52">
        <v>0</v>
      </c>
      <c r="F96" s="52">
        <f>+'22'!D76</f>
        <v>0</v>
      </c>
      <c r="G96" s="52">
        <f>+'22'!E76</f>
        <v>0</v>
      </c>
      <c r="H96" s="52">
        <f>+'22'!F76</f>
        <v>0</v>
      </c>
      <c r="I96" s="52">
        <f>+'22'!G76</f>
        <v>0</v>
      </c>
      <c r="J96" s="52">
        <f>+'22'!H76</f>
        <v>0</v>
      </c>
      <c r="K96" s="52">
        <f>+'22'!I76</f>
        <v>0</v>
      </c>
      <c r="L96" s="52">
        <f>+'22'!J76</f>
        <v>0</v>
      </c>
      <c r="M96" s="52">
        <f>+'22'!K76</f>
        <v>0</v>
      </c>
      <c r="N96" s="52">
        <f>+'22'!L76</f>
        <v>0</v>
      </c>
      <c r="O96" s="52">
        <f>+'22'!M76</f>
        <v>0</v>
      </c>
      <c r="P96" s="52">
        <f>+'22'!N76</f>
        <v>0</v>
      </c>
      <c r="Q96" s="52">
        <f>+'22'!O76</f>
        <v>0</v>
      </c>
      <c r="R96" s="12">
        <f t="shared" si="23"/>
        <v>0</v>
      </c>
      <c r="S96" s="12">
        <f t="shared" si="24"/>
        <v>0</v>
      </c>
    </row>
    <row r="97" spans="1:19" x14ac:dyDescent="0.2">
      <c r="B97" s="19" t="s">
        <v>101</v>
      </c>
      <c r="C97" s="37" t="s">
        <v>28</v>
      </c>
      <c r="D97" s="37"/>
      <c r="E97" s="52">
        <v>0</v>
      </c>
      <c r="F97" s="52">
        <f>+'22'!D77</f>
        <v>0</v>
      </c>
      <c r="G97" s="52">
        <f>+'22'!E77</f>
        <v>0</v>
      </c>
      <c r="H97" s="52">
        <f>+'22'!F77</f>
        <v>0</v>
      </c>
      <c r="I97" s="52">
        <f>+'22'!G77</f>
        <v>0</v>
      </c>
      <c r="J97" s="52">
        <f>+'22'!H77</f>
        <v>0</v>
      </c>
      <c r="K97" s="52">
        <f>+'22'!I77</f>
        <v>0</v>
      </c>
      <c r="L97" s="52">
        <f>+'22'!J77</f>
        <v>0</v>
      </c>
      <c r="M97" s="52">
        <f>+'22'!K77</f>
        <v>0</v>
      </c>
      <c r="N97" s="52">
        <f>+'22'!L77</f>
        <v>0</v>
      </c>
      <c r="O97" s="52">
        <f>+'22'!M77</f>
        <v>0</v>
      </c>
      <c r="P97" s="52">
        <f>+'22'!N77</f>
        <v>0</v>
      </c>
      <c r="Q97" s="52">
        <f>+'22'!O77</f>
        <v>0</v>
      </c>
      <c r="R97" s="12">
        <f t="shared" si="23"/>
        <v>0</v>
      </c>
      <c r="S97" s="12">
        <f t="shared" si="24"/>
        <v>0</v>
      </c>
    </row>
    <row r="98" spans="1:19" x14ac:dyDescent="0.2">
      <c r="A98" s="29"/>
      <c r="B98" s="28" t="s">
        <v>133</v>
      </c>
      <c r="C98" s="38"/>
      <c r="D98" s="38"/>
      <c r="E98" s="30">
        <v>25.333333333333332</v>
      </c>
      <c r="F98" s="30">
        <f>SUM(F89:F97)</f>
        <v>25</v>
      </c>
      <c r="G98" s="30">
        <f t="shared" ref="G98:R98" si="25">SUM(G89:G97)</f>
        <v>29</v>
      </c>
      <c r="H98" s="30">
        <f>SUM(H89:H97)</f>
        <v>30</v>
      </c>
      <c r="I98" s="30">
        <f>SUM(I89:I97)</f>
        <v>27</v>
      </c>
      <c r="J98" s="30">
        <f t="shared" si="25"/>
        <v>0</v>
      </c>
      <c r="K98" s="30">
        <f t="shared" si="25"/>
        <v>0</v>
      </c>
      <c r="L98" s="30">
        <f t="shared" si="25"/>
        <v>0</v>
      </c>
      <c r="M98" s="30">
        <f t="shared" si="25"/>
        <v>0</v>
      </c>
      <c r="N98" s="30">
        <f t="shared" si="25"/>
        <v>0</v>
      </c>
      <c r="O98" s="30">
        <f t="shared" ref="O98:Q98" si="26">SUM(O89:O97)</f>
        <v>0</v>
      </c>
      <c r="P98" s="30">
        <f t="shared" si="26"/>
        <v>0</v>
      </c>
      <c r="Q98" s="30">
        <f t="shared" si="26"/>
        <v>0</v>
      </c>
      <c r="R98" s="30">
        <f t="shared" si="25"/>
        <v>27.75</v>
      </c>
      <c r="S98" s="30">
        <f>SUM(S89:S97)</f>
        <v>2.4166666666666679</v>
      </c>
    </row>
    <row r="99" spans="1:19" ht="5.25" customHeight="1" x14ac:dyDescent="0.2">
      <c r="B99" s="19"/>
      <c r="C99" s="37"/>
      <c r="D99" s="37"/>
      <c r="E99" s="52"/>
      <c r="F99" s="52"/>
      <c r="G99" s="53"/>
      <c r="H99" s="53"/>
      <c r="I99" s="52"/>
      <c r="J99" s="52"/>
      <c r="K99" s="52"/>
      <c r="L99" s="52"/>
      <c r="M99" s="52"/>
      <c r="N99" s="52"/>
      <c r="O99" s="52"/>
      <c r="P99" s="52"/>
      <c r="Q99" s="52"/>
      <c r="R99" s="13"/>
      <c r="S99" s="13"/>
    </row>
    <row r="100" spans="1:19" x14ac:dyDescent="0.2">
      <c r="B100" s="19" t="s">
        <v>94</v>
      </c>
      <c r="C100" s="37" t="s">
        <v>29</v>
      </c>
      <c r="D100" s="37" t="s">
        <v>167</v>
      </c>
      <c r="E100" s="52">
        <v>4.333333333333333</v>
      </c>
      <c r="F100" s="52">
        <f>+'22'!D70</f>
        <v>3</v>
      </c>
      <c r="G100" s="52">
        <f>+'22'!E70</f>
        <v>2</v>
      </c>
      <c r="H100" s="52">
        <f>+'22'!F70</f>
        <v>4</v>
      </c>
      <c r="I100" s="52">
        <f>+'22'!G70</f>
        <v>2</v>
      </c>
      <c r="J100" s="52">
        <f>+'22'!H70</f>
        <v>0</v>
      </c>
      <c r="K100" s="52">
        <f>+'22'!I70</f>
        <v>0</v>
      </c>
      <c r="L100" s="52">
        <f>+'22'!J70</f>
        <v>0</v>
      </c>
      <c r="M100" s="52">
        <f>+'22'!K70</f>
        <v>0</v>
      </c>
      <c r="N100" s="52">
        <f>+'22'!L70</f>
        <v>0</v>
      </c>
      <c r="O100" s="52">
        <f>+'22'!M70</f>
        <v>0</v>
      </c>
      <c r="P100" s="52">
        <f>+'22'!N70</f>
        <v>0</v>
      </c>
      <c r="Q100" s="52">
        <f>+'22'!O70</f>
        <v>0</v>
      </c>
      <c r="R100" s="12">
        <f>SUM(F100:Q100)/_No_Mths.</f>
        <v>2.75</v>
      </c>
      <c r="S100" s="12">
        <f>R100-E100</f>
        <v>-1.583333333333333</v>
      </c>
    </row>
    <row r="101" spans="1:19" x14ac:dyDescent="0.2">
      <c r="B101" s="19" t="s">
        <v>102</v>
      </c>
      <c r="C101" s="37" t="s">
        <v>29</v>
      </c>
      <c r="D101" s="37" t="s">
        <v>167</v>
      </c>
      <c r="E101" s="52">
        <v>0</v>
      </c>
      <c r="F101" s="52">
        <f>+'22'!D78</f>
        <v>0</v>
      </c>
      <c r="G101" s="52">
        <f>+'22'!E78</f>
        <v>0</v>
      </c>
      <c r="H101" s="52">
        <f>+'22'!F78</f>
        <v>0</v>
      </c>
      <c r="I101" s="52">
        <f>+'22'!G78</f>
        <v>0</v>
      </c>
      <c r="J101" s="52">
        <f>+'22'!H78</f>
        <v>0</v>
      </c>
      <c r="K101" s="52">
        <f>+'22'!I78</f>
        <v>0</v>
      </c>
      <c r="L101" s="52">
        <f>+'22'!J78</f>
        <v>0</v>
      </c>
      <c r="M101" s="52">
        <f>+'22'!K78</f>
        <v>0</v>
      </c>
      <c r="N101" s="52">
        <f>+'22'!L78</f>
        <v>0</v>
      </c>
      <c r="O101" s="52">
        <f>+'22'!M78</f>
        <v>0</v>
      </c>
      <c r="P101" s="52">
        <f>+'22'!N78</f>
        <v>0</v>
      </c>
      <c r="Q101" s="52">
        <f>+'22'!O78</f>
        <v>0</v>
      </c>
      <c r="R101" s="12">
        <f>SUM(F101:Q101)/_No_Mths.</f>
        <v>0</v>
      </c>
      <c r="S101" s="12">
        <f>R101-E101</f>
        <v>0</v>
      </c>
    </row>
    <row r="102" spans="1:19" x14ac:dyDescent="0.2">
      <c r="A102" s="29"/>
      <c r="B102" s="28" t="s">
        <v>134</v>
      </c>
      <c r="C102" s="38"/>
      <c r="D102" s="38"/>
      <c r="E102" s="30">
        <v>4.333333333333333</v>
      </c>
      <c r="F102" s="30">
        <f>SUM(F100:F101)</f>
        <v>3</v>
      </c>
      <c r="G102" s="30">
        <f t="shared" ref="G102:R102" si="27">SUM(G100:G101)</f>
        <v>2</v>
      </c>
      <c r="H102" s="30">
        <f>SUM(H100:H101)</f>
        <v>4</v>
      </c>
      <c r="I102" s="30">
        <f>SUM(I100:I101)</f>
        <v>2</v>
      </c>
      <c r="J102" s="30">
        <f t="shared" si="27"/>
        <v>0</v>
      </c>
      <c r="K102" s="30">
        <f t="shared" si="27"/>
        <v>0</v>
      </c>
      <c r="L102" s="30">
        <f t="shared" si="27"/>
        <v>0</v>
      </c>
      <c r="M102" s="30">
        <f t="shared" si="27"/>
        <v>0</v>
      </c>
      <c r="N102" s="30">
        <f t="shared" si="27"/>
        <v>0</v>
      </c>
      <c r="O102" s="30">
        <f t="shared" ref="O102:Q102" si="28">SUM(O100:O101)</f>
        <v>0</v>
      </c>
      <c r="P102" s="30">
        <f t="shared" si="28"/>
        <v>0</v>
      </c>
      <c r="Q102" s="30">
        <f t="shared" si="28"/>
        <v>0</v>
      </c>
      <c r="R102" s="30">
        <f t="shared" si="27"/>
        <v>2.75</v>
      </c>
      <c r="S102" s="30">
        <f>SUM(S100:S101)</f>
        <v>-1.583333333333333</v>
      </c>
    </row>
    <row r="103" spans="1:19" ht="6" customHeight="1" x14ac:dyDescent="0.2">
      <c r="B103" s="19"/>
      <c r="C103" s="37"/>
      <c r="D103" s="37"/>
      <c r="E103" s="52"/>
      <c r="F103" s="52"/>
      <c r="G103" s="53"/>
      <c r="H103" s="53"/>
      <c r="I103" s="52"/>
      <c r="J103" s="52"/>
      <c r="K103" s="52"/>
      <c r="L103" s="52"/>
      <c r="M103" s="52"/>
      <c r="N103" s="52"/>
      <c r="O103" s="52"/>
      <c r="P103" s="52"/>
      <c r="Q103" s="52"/>
      <c r="R103" s="13"/>
      <c r="S103" s="13"/>
    </row>
    <row r="104" spans="1:19" x14ac:dyDescent="0.2">
      <c r="A104" s="27" t="s">
        <v>41</v>
      </c>
      <c r="B104" s="19" t="s">
        <v>47</v>
      </c>
      <c r="C104" s="37" t="s">
        <v>30</v>
      </c>
      <c r="D104" s="37" t="s">
        <v>167</v>
      </c>
      <c r="E104" s="52">
        <v>0</v>
      </c>
      <c r="F104" s="52">
        <f>+'22'!D13</f>
        <v>0</v>
      </c>
      <c r="G104" s="52">
        <f>+'22'!E13</f>
        <v>0</v>
      </c>
      <c r="H104" s="52">
        <f>+'22'!F13</f>
        <v>0</v>
      </c>
      <c r="I104" s="52">
        <f>+'22'!G13</f>
        <v>0</v>
      </c>
      <c r="J104" s="52">
        <f>+'22'!H13</f>
        <v>0</v>
      </c>
      <c r="K104" s="52">
        <f>+'22'!I13</f>
        <v>0</v>
      </c>
      <c r="L104" s="52">
        <f>+'22'!J13</f>
        <v>0</v>
      </c>
      <c r="M104" s="52">
        <f>+'22'!K13</f>
        <v>0</v>
      </c>
      <c r="N104" s="52">
        <f>+'22'!L13</f>
        <v>0</v>
      </c>
      <c r="O104" s="52">
        <f>+'22'!M13</f>
        <v>0</v>
      </c>
      <c r="P104" s="52">
        <f>+'22'!N13</f>
        <v>0</v>
      </c>
      <c r="Q104" s="52">
        <f>+'22'!O13</f>
        <v>0</v>
      </c>
      <c r="R104" s="12">
        <f t="shared" ref="R104:R109" si="29">SUM(F104:Q104)/_No_Mths.</f>
        <v>0</v>
      </c>
      <c r="S104" s="12">
        <f t="shared" ref="S104:S110" si="30">R104-E104</f>
        <v>0</v>
      </c>
    </row>
    <row r="105" spans="1:19" x14ac:dyDescent="0.2">
      <c r="A105" s="27" t="s">
        <v>41</v>
      </c>
      <c r="B105" s="19" t="s">
        <v>48</v>
      </c>
      <c r="C105" s="37" t="s">
        <v>30</v>
      </c>
      <c r="D105" s="37" t="s">
        <v>168</v>
      </c>
      <c r="E105" s="52">
        <v>0</v>
      </c>
      <c r="F105" s="52">
        <f>+'22'!D14</f>
        <v>0</v>
      </c>
      <c r="G105" s="52">
        <f>+'22'!E14</f>
        <v>0</v>
      </c>
      <c r="H105" s="52">
        <f>+'22'!F14</f>
        <v>0</v>
      </c>
      <c r="I105" s="52">
        <f>+'22'!G14</f>
        <v>0</v>
      </c>
      <c r="J105" s="52">
        <f>+'22'!H14</f>
        <v>0</v>
      </c>
      <c r="K105" s="52">
        <f>+'22'!I14</f>
        <v>0</v>
      </c>
      <c r="L105" s="52">
        <f>+'22'!J14</f>
        <v>0</v>
      </c>
      <c r="M105" s="52">
        <f>+'22'!K14</f>
        <v>0</v>
      </c>
      <c r="N105" s="52">
        <f>+'22'!L14</f>
        <v>0</v>
      </c>
      <c r="O105" s="52">
        <f>+'22'!M14</f>
        <v>0</v>
      </c>
      <c r="P105" s="52">
        <f>+'22'!N14</f>
        <v>0</v>
      </c>
      <c r="Q105" s="52">
        <f>+'22'!O14</f>
        <v>0</v>
      </c>
      <c r="R105" s="12">
        <f t="shared" si="29"/>
        <v>0</v>
      </c>
      <c r="S105" s="12">
        <f t="shared" si="30"/>
        <v>0</v>
      </c>
    </row>
    <row r="106" spans="1:19" x14ac:dyDescent="0.2">
      <c r="B106" s="19" t="s">
        <v>47</v>
      </c>
      <c r="C106" s="37" t="s">
        <v>30</v>
      </c>
      <c r="D106" s="37"/>
      <c r="E106" s="52">
        <v>0</v>
      </c>
      <c r="F106" s="52">
        <f>+'22'!D40</f>
        <v>0</v>
      </c>
      <c r="G106" s="52">
        <f>+'22'!E40</f>
        <v>0</v>
      </c>
      <c r="H106" s="52">
        <f>+'22'!F40</f>
        <v>0</v>
      </c>
      <c r="I106" s="52">
        <f>+'22'!G40</f>
        <v>0</v>
      </c>
      <c r="J106" s="52">
        <f>+'22'!H40</f>
        <v>0</v>
      </c>
      <c r="K106" s="52">
        <f>+'22'!I40</f>
        <v>0</v>
      </c>
      <c r="L106" s="52">
        <f>+'22'!J40</f>
        <v>0</v>
      </c>
      <c r="M106" s="52">
        <f>+'22'!K40</f>
        <v>0</v>
      </c>
      <c r="N106" s="52">
        <f>+'22'!L40</f>
        <v>0</v>
      </c>
      <c r="O106" s="52">
        <f>+'22'!M40</f>
        <v>0</v>
      </c>
      <c r="P106" s="52">
        <f>+'22'!N40</f>
        <v>0</v>
      </c>
      <c r="Q106" s="52">
        <f>+'22'!O40</f>
        <v>0</v>
      </c>
      <c r="R106" s="12">
        <f t="shared" si="29"/>
        <v>0</v>
      </c>
      <c r="S106" s="12">
        <f t="shared" si="30"/>
        <v>0</v>
      </c>
    </row>
    <row r="107" spans="1:19" x14ac:dyDescent="0.2">
      <c r="B107" s="19" t="s">
        <v>48</v>
      </c>
      <c r="C107" s="37" t="s">
        <v>30</v>
      </c>
      <c r="D107" s="37"/>
      <c r="E107" s="52">
        <v>0</v>
      </c>
      <c r="F107" s="52">
        <f>+'22'!D41</f>
        <v>0</v>
      </c>
      <c r="G107" s="52">
        <f>+'22'!E41</f>
        <v>0</v>
      </c>
      <c r="H107" s="52">
        <f>+'22'!F41</f>
        <v>0</v>
      </c>
      <c r="I107" s="52">
        <f>+'22'!G41</f>
        <v>0</v>
      </c>
      <c r="J107" s="52">
        <f>+'22'!H41</f>
        <v>0</v>
      </c>
      <c r="K107" s="52">
        <f>+'22'!I41</f>
        <v>0</v>
      </c>
      <c r="L107" s="52">
        <f>+'22'!J41</f>
        <v>0</v>
      </c>
      <c r="M107" s="52">
        <f>+'22'!K41</f>
        <v>0</v>
      </c>
      <c r="N107" s="52">
        <f>+'22'!L41</f>
        <v>0</v>
      </c>
      <c r="O107" s="52">
        <f>+'22'!M41</f>
        <v>0</v>
      </c>
      <c r="P107" s="52">
        <f>+'22'!N41</f>
        <v>0</v>
      </c>
      <c r="Q107" s="52">
        <f>+'22'!O41</f>
        <v>0</v>
      </c>
      <c r="R107" s="12">
        <f t="shared" si="29"/>
        <v>0</v>
      </c>
      <c r="S107" s="12">
        <f t="shared" si="30"/>
        <v>0</v>
      </c>
    </row>
    <row r="108" spans="1:19" x14ac:dyDescent="0.2">
      <c r="B108" s="19" t="s">
        <v>71</v>
      </c>
      <c r="C108" s="37" t="s">
        <v>30</v>
      </c>
      <c r="D108" s="37"/>
      <c r="E108" s="52">
        <v>0</v>
      </c>
      <c r="F108" s="52">
        <f>+'22'!D44</f>
        <v>0</v>
      </c>
      <c r="G108" s="52">
        <f>+'22'!E44</f>
        <v>0</v>
      </c>
      <c r="H108" s="52">
        <f>+'22'!F44</f>
        <v>0</v>
      </c>
      <c r="I108" s="52">
        <f>+'22'!G44</f>
        <v>0</v>
      </c>
      <c r="J108" s="52">
        <f>+'22'!H44</f>
        <v>0</v>
      </c>
      <c r="K108" s="52">
        <f>+'22'!I44</f>
        <v>0</v>
      </c>
      <c r="L108" s="52">
        <f>+'22'!J44</f>
        <v>0</v>
      </c>
      <c r="M108" s="52">
        <f>+'22'!K44</f>
        <v>0</v>
      </c>
      <c r="N108" s="52">
        <f>+'22'!L44</f>
        <v>0</v>
      </c>
      <c r="O108" s="52">
        <f>+'22'!M44</f>
        <v>0</v>
      </c>
      <c r="P108" s="52">
        <f>+'22'!N44</f>
        <v>0</v>
      </c>
      <c r="Q108" s="52">
        <f>+'22'!O44</f>
        <v>0</v>
      </c>
      <c r="R108" s="12">
        <f t="shared" si="29"/>
        <v>0</v>
      </c>
      <c r="S108" s="12">
        <f t="shared" si="30"/>
        <v>0</v>
      </c>
    </row>
    <row r="109" spans="1:19" x14ac:dyDescent="0.2">
      <c r="B109" s="19" t="s">
        <v>72</v>
      </c>
      <c r="C109" s="37" t="s">
        <v>30</v>
      </c>
      <c r="D109" s="37"/>
      <c r="E109" s="52">
        <v>0</v>
      </c>
      <c r="F109" s="52">
        <f>+'22'!D45</f>
        <v>0</v>
      </c>
      <c r="G109" s="52">
        <f>+'22'!E45</f>
        <v>0</v>
      </c>
      <c r="H109" s="52">
        <f>+'22'!F45</f>
        <v>0</v>
      </c>
      <c r="I109" s="52">
        <f>+'22'!G45</f>
        <v>0</v>
      </c>
      <c r="J109" s="52">
        <f>+'22'!H45</f>
        <v>0</v>
      </c>
      <c r="K109" s="52">
        <f>+'22'!I45</f>
        <v>0</v>
      </c>
      <c r="L109" s="52">
        <f>+'22'!J45</f>
        <v>0</v>
      </c>
      <c r="M109" s="52">
        <f>+'22'!K45</f>
        <v>0</v>
      </c>
      <c r="N109" s="52">
        <f>+'22'!L45</f>
        <v>0</v>
      </c>
      <c r="O109" s="52">
        <f>+'22'!M45</f>
        <v>0</v>
      </c>
      <c r="P109" s="52">
        <f>+'22'!N45</f>
        <v>0</v>
      </c>
      <c r="Q109" s="52">
        <f>+'22'!O45</f>
        <v>0</v>
      </c>
      <c r="R109" s="12">
        <f t="shared" si="29"/>
        <v>0</v>
      </c>
      <c r="S109" s="12">
        <f t="shared" si="30"/>
        <v>0</v>
      </c>
    </row>
    <row r="110" spans="1:19" x14ac:dyDescent="0.2">
      <c r="A110" s="29"/>
      <c r="B110" s="28" t="s">
        <v>135</v>
      </c>
      <c r="C110" s="38"/>
      <c r="D110" s="38"/>
      <c r="E110" s="30">
        <v>0</v>
      </c>
      <c r="F110" s="30">
        <f>SUM(F104:F109)</f>
        <v>0</v>
      </c>
      <c r="G110" s="30">
        <f t="shared" ref="G110:N110" si="31">SUM(G104:G109)</f>
        <v>0</v>
      </c>
      <c r="H110" s="30">
        <f>SUM(H104:H109)</f>
        <v>0</v>
      </c>
      <c r="I110" s="30">
        <f>SUM(I104:I109)</f>
        <v>0</v>
      </c>
      <c r="J110" s="30">
        <f t="shared" si="31"/>
        <v>0</v>
      </c>
      <c r="K110" s="30">
        <f t="shared" si="31"/>
        <v>0</v>
      </c>
      <c r="L110" s="30">
        <f t="shared" si="31"/>
        <v>0</v>
      </c>
      <c r="M110" s="30">
        <f t="shared" si="31"/>
        <v>0</v>
      </c>
      <c r="N110" s="30">
        <f t="shared" si="31"/>
        <v>0</v>
      </c>
      <c r="O110" s="30">
        <f t="shared" ref="O110:Q110" si="32">SUM(O104:O109)</f>
        <v>0</v>
      </c>
      <c r="P110" s="30">
        <f t="shared" si="32"/>
        <v>0</v>
      </c>
      <c r="Q110" s="30">
        <f t="shared" si="32"/>
        <v>0</v>
      </c>
      <c r="R110" s="30">
        <f>SUM(R104:R109)</f>
        <v>0</v>
      </c>
      <c r="S110" s="30">
        <f t="shared" si="30"/>
        <v>0</v>
      </c>
    </row>
    <row r="111" spans="1:19" ht="5.25" customHeight="1" x14ac:dyDescent="0.2">
      <c r="B111" s="35"/>
      <c r="C111" s="37"/>
      <c r="D111" s="37"/>
      <c r="E111" s="52"/>
      <c r="F111" s="52"/>
      <c r="G111" s="53"/>
      <c r="H111" s="53"/>
      <c r="I111" s="53"/>
      <c r="J111" s="53"/>
      <c r="K111" s="52"/>
      <c r="L111" s="52"/>
      <c r="M111" s="52"/>
      <c r="N111" s="52"/>
      <c r="O111" s="52"/>
      <c r="P111" s="52"/>
      <c r="Q111" s="52"/>
      <c r="R111" s="13"/>
      <c r="S111" s="13"/>
    </row>
    <row r="112" spans="1:19" ht="12.75" hidden="1" customHeight="1" x14ac:dyDescent="0.2">
      <c r="A112" s="107"/>
      <c r="B112" s="108"/>
      <c r="C112" s="49"/>
      <c r="D112" s="49"/>
      <c r="E112" s="109"/>
      <c r="F112" s="109"/>
      <c r="G112" s="110"/>
      <c r="H112" s="110"/>
      <c r="I112" s="110"/>
      <c r="J112" s="110"/>
      <c r="K112" s="109"/>
      <c r="L112" s="109"/>
      <c r="M112" s="109"/>
      <c r="N112" s="109"/>
      <c r="O112" s="109"/>
      <c r="P112" s="109"/>
      <c r="Q112" s="109"/>
      <c r="R112" s="111"/>
      <c r="S112" s="111"/>
    </row>
    <row r="113" spans="1:19" ht="15" customHeight="1" x14ac:dyDescent="0.2">
      <c r="A113" s="112"/>
      <c r="B113" s="171" t="s">
        <v>258</v>
      </c>
      <c r="C113" s="38"/>
      <c r="D113" s="105" t="s">
        <v>167</v>
      </c>
      <c r="E113" s="80">
        <v>1589.5</v>
      </c>
      <c r="F113" s="80">
        <f>'22'!D60</f>
        <v>1225</v>
      </c>
      <c r="G113" s="80">
        <f>'22'!E60</f>
        <v>1207</v>
      </c>
      <c r="H113" s="80">
        <f>'22'!F60</f>
        <v>1147</v>
      </c>
      <c r="I113" s="80">
        <f>'22'!G60</f>
        <v>1084</v>
      </c>
      <c r="J113" s="80">
        <f>'22'!H60</f>
        <v>0</v>
      </c>
      <c r="K113" s="80">
        <f>'22'!I60</f>
        <v>0</v>
      </c>
      <c r="L113" s="80">
        <f>'22'!J60</f>
        <v>0</v>
      </c>
      <c r="M113" s="80">
        <f>'22'!K60</f>
        <v>0</v>
      </c>
      <c r="N113" s="80">
        <f>'22'!L60</f>
        <v>0</v>
      </c>
      <c r="O113" s="80">
        <f>'22'!M60</f>
        <v>0</v>
      </c>
      <c r="P113" s="80">
        <f>'22'!N60</f>
        <v>0</v>
      </c>
      <c r="Q113" s="80">
        <f>'22'!O60</f>
        <v>0</v>
      </c>
      <c r="R113" s="30">
        <f t="shared" ref="R113:R128" si="33">SUM(F113:Q113)/_No_Mths.</f>
        <v>1165.75</v>
      </c>
      <c r="S113" s="30">
        <f>R113-E113</f>
        <v>-423.75</v>
      </c>
    </row>
    <row r="114" spans="1:19" ht="6.75" customHeight="1" x14ac:dyDescent="0.2">
      <c r="B114" s="35"/>
      <c r="C114" s="37"/>
      <c r="D114" s="37"/>
      <c r="E114" s="52"/>
      <c r="F114" s="52"/>
      <c r="G114" s="53"/>
      <c r="H114" s="53"/>
      <c r="I114" s="53"/>
      <c r="J114" s="53"/>
      <c r="K114" s="52"/>
      <c r="L114" s="52"/>
      <c r="M114" s="52"/>
      <c r="N114" s="52"/>
      <c r="O114" s="52"/>
      <c r="P114" s="52"/>
      <c r="Q114" s="52"/>
      <c r="R114" s="13"/>
      <c r="S114" s="13"/>
    </row>
    <row r="115" spans="1:19" x14ac:dyDescent="0.2">
      <c r="A115" s="29"/>
      <c r="B115" s="33" t="s">
        <v>77</v>
      </c>
      <c r="C115" s="38" t="s">
        <v>31</v>
      </c>
      <c r="D115" s="105" t="s">
        <v>167</v>
      </c>
      <c r="E115" s="30">
        <v>553.16666666666663</v>
      </c>
      <c r="F115" s="30">
        <f>+'22'!D49</f>
        <v>822</v>
      </c>
      <c r="G115" s="30">
        <f>+'22'!E49</f>
        <v>857</v>
      </c>
      <c r="H115" s="30">
        <f>+'22'!F49</f>
        <v>842</v>
      </c>
      <c r="I115" s="30">
        <f>+'22'!G49</f>
        <v>882</v>
      </c>
      <c r="J115" s="30">
        <f>+'22'!H49</f>
        <v>0</v>
      </c>
      <c r="K115" s="30">
        <f>+'22'!I49</f>
        <v>0</v>
      </c>
      <c r="L115" s="30">
        <f>+'22'!J49</f>
        <v>0</v>
      </c>
      <c r="M115" s="30">
        <f>+'22'!K49</f>
        <v>0</v>
      </c>
      <c r="N115" s="30">
        <f>+'22'!L49</f>
        <v>0</v>
      </c>
      <c r="O115" s="30">
        <f>+'22'!M49</f>
        <v>0</v>
      </c>
      <c r="P115" s="30">
        <f>+'22'!N49</f>
        <v>0</v>
      </c>
      <c r="Q115" s="30">
        <f>+'22'!O49</f>
        <v>0</v>
      </c>
      <c r="R115" s="30">
        <f t="shared" si="33"/>
        <v>850.75</v>
      </c>
      <c r="S115" s="30">
        <f>R115-E115</f>
        <v>297.58333333333337</v>
      </c>
    </row>
    <row r="116" spans="1:19" ht="4.5" customHeight="1" x14ac:dyDescent="0.2">
      <c r="B116" s="35"/>
      <c r="C116" s="37"/>
      <c r="D116" s="37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13"/>
      <c r="S116" s="13"/>
    </row>
    <row r="117" spans="1:19" x14ac:dyDescent="0.2">
      <c r="A117" s="29"/>
      <c r="B117" s="33" t="s">
        <v>78</v>
      </c>
      <c r="C117" s="38" t="s">
        <v>32</v>
      </c>
      <c r="D117" s="105" t="s">
        <v>168</v>
      </c>
      <c r="E117" s="30">
        <v>99.833333333333329</v>
      </c>
      <c r="F117" s="30">
        <f>+'22'!D50</f>
        <v>114</v>
      </c>
      <c r="G117" s="30">
        <f>+'22'!E50</f>
        <v>117</v>
      </c>
      <c r="H117" s="30">
        <f>+'22'!F50</f>
        <v>107</v>
      </c>
      <c r="I117" s="30">
        <f>+'22'!G50</f>
        <v>108</v>
      </c>
      <c r="J117" s="30">
        <f>+'22'!H50</f>
        <v>0</v>
      </c>
      <c r="K117" s="30">
        <f>+'22'!I50</f>
        <v>0</v>
      </c>
      <c r="L117" s="30">
        <f>+'22'!J50</f>
        <v>0</v>
      </c>
      <c r="M117" s="30">
        <f>+'22'!K50</f>
        <v>0</v>
      </c>
      <c r="N117" s="30">
        <f>+'22'!L50</f>
        <v>0</v>
      </c>
      <c r="O117" s="30">
        <f>+'22'!M50</f>
        <v>0</v>
      </c>
      <c r="P117" s="30">
        <f>+'22'!N50</f>
        <v>0</v>
      </c>
      <c r="Q117" s="30">
        <f>+'22'!O50</f>
        <v>0</v>
      </c>
      <c r="R117" s="30">
        <f t="shared" si="33"/>
        <v>111.5</v>
      </c>
      <c r="S117" s="30">
        <f>R117-E117</f>
        <v>11.666666666666671</v>
      </c>
    </row>
    <row r="118" spans="1:19" ht="6.75" customHeight="1" x14ac:dyDescent="0.2">
      <c r="B118" s="35"/>
      <c r="C118" s="37"/>
      <c r="D118" s="37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13"/>
      <c r="S118" s="13"/>
    </row>
    <row r="119" spans="1:19" x14ac:dyDescent="0.2">
      <c r="A119" s="29"/>
      <c r="B119" s="33" t="s">
        <v>79</v>
      </c>
      <c r="C119" s="38" t="s">
        <v>33</v>
      </c>
      <c r="D119" s="105" t="s">
        <v>168</v>
      </c>
      <c r="E119" s="30">
        <v>1420.9166666666667</v>
      </c>
      <c r="F119" s="30">
        <f>+'22'!D51</f>
        <v>1504</v>
      </c>
      <c r="G119" s="30">
        <f>+'22'!E51</f>
        <v>1512</v>
      </c>
      <c r="H119" s="30">
        <f>+'22'!F51</f>
        <v>1531</v>
      </c>
      <c r="I119" s="30">
        <f>+'22'!G51</f>
        <v>1578</v>
      </c>
      <c r="J119" s="30">
        <f>+'22'!H51</f>
        <v>0</v>
      </c>
      <c r="K119" s="30">
        <f>+'22'!I51</f>
        <v>0</v>
      </c>
      <c r="L119" s="30">
        <f>+'22'!J51</f>
        <v>0</v>
      </c>
      <c r="M119" s="30">
        <f>+'22'!K51</f>
        <v>0</v>
      </c>
      <c r="N119" s="30">
        <f>+'22'!L51</f>
        <v>0</v>
      </c>
      <c r="O119" s="30">
        <f>+'22'!M51</f>
        <v>0</v>
      </c>
      <c r="P119" s="30">
        <f>+'22'!N51</f>
        <v>0</v>
      </c>
      <c r="Q119" s="30">
        <f>+'22'!O51</f>
        <v>0</v>
      </c>
      <c r="R119" s="30">
        <f t="shared" si="33"/>
        <v>1531.25</v>
      </c>
      <c r="S119" s="30">
        <f>R119-E119</f>
        <v>110.33333333333326</v>
      </c>
    </row>
    <row r="120" spans="1:19" ht="5.25" customHeight="1" x14ac:dyDescent="0.2">
      <c r="B120" s="35"/>
      <c r="C120" s="37"/>
      <c r="D120" s="37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13"/>
      <c r="S120" s="13"/>
    </row>
    <row r="121" spans="1:19" x14ac:dyDescent="0.2">
      <c r="A121" s="29"/>
      <c r="B121" s="33" t="s">
        <v>197</v>
      </c>
      <c r="C121" s="38"/>
      <c r="D121" s="105" t="s">
        <v>168</v>
      </c>
      <c r="E121" s="30">
        <v>198.33333333333334</v>
      </c>
      <c r="F121" s="30">
        <f>'22'!D99</f>
        <v>198</v>
      </c>
      <c r="G121" s="30">
        <f>'22'!E99</f>
        <v>275</v>
      </c>
      <c r="H121" s="30">
        <f>'22'!F99</f>
        <v>262</v>
      </c>
      <c r="I121" s="30">
        <f>'22'!G99</f>
        <v>233</v>
      </c>
      <c r="J121" s="30">
        <f>'22'!H99</f>
        <v>0</v>
      </c>
      <c r="K121" s="30">
        <f>'22'!I99</f>
        <v>0</v>
      </c>
      <c r="L121" s="30">
        <f>'22'!J99</f>
        <v>0</v>
      </c>
      <c r="M121" s="30">
        <f>'22'!K99</f>
        <v>0</v>
      </c>
      <c r="N121" s="30">
        <f>'22'!L99</f>
        <v>0</v>
      </c>
      <c r="O121" s="30">
        <f>'22'!M99</f>
        <v>0</v>
      </c>
      <c r="P121" s="30">
        <f>'22'!N99</f>
        <v>0</v>
      </c>
      <c r="Q121" s="30">
        <f>'22'!O99</f>
        <v>0</v>
      </c>
      <c r="R121" s="30">
        <f t="shared" si="33"/>
        <v>242</v>
      </c>
      <c r="S121" s="30">
        <f>R121-E121</f>
        <v>43.666666666666657</v>
      </c>
    </row>
    <row r="122" spans="1:19" ht="5.25" customHeight="1" x14ac:dyDescent="0.2">
      <c r="B122" s="35"/>
      <c r="C122" s="37"/>
      <c r="D122" s="37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13"/>
      <c r="S122" s="13"/>
    </row>
    <row r="123" spans="1:19" x14ac:dyDescent="0.2">
      <c r="A123" s="29"/>
      <c r="B123" s="33" t="s">
        <v>194</v>
      </c>
      <c r="C123" s="38"/>
      <c r="D123" s="105" t="s">
        <v>168</v>
      </c>
      <c r="E123" s="30">
        <v>9.75</v>
      </c>
      <c r="F123" s="30">
        <f>'22'!D98</f>
        <v>8</v>
      </c>
      <c r="G123" s="30">
        <f>'22'!E98</f>
        <v>8</v>
      </c>
      <c r="H123" s="30">
        <f>'22'!F98</f>
        <v>7</v>
      </c>
      <c r="I123" s="30">
        <f>'22'!G98</f>
        <v>9</v>
      </c>
      <c r="J123" s="30">
        <f>'22'!H98</f>
        <v>0</v>
      </c>
      <c r="K123" s="30">
        <f>'22'!I98</f>
        <v>0</v>
      </c>
      <c r="L123" s="30">
        <f>'22'!J98</f>
        <v>0</v>
      </c>
      <c r="M123" s="30">
        <f>'22'!K98</f>
        <v>0</v>
      </c>
      <c r="N123" s="30">
        <f>'22'!L98</f>
        <v>0</v>
      </c>
      <c r="O123" s="30">
        <f>'22'!M98</f>
        <v>0</v>
      </c>
      <c r="P123" s="30">
        <f>'22'!N98</f>
        <v>0</v>
      </c>
      <c r="Q123" s="30">
        <f>'22'!O98</f>
        <v>0</v>
      </c>
      <c r="R123" s="30">
        <f t="shared" si="33"/>
        <v>8</v>
      </c>
      <c r="S123" s="30">
        <f>R123-E123</f>
        <v>-1.75</v>
      </c>
    </row>
    <row r="124" spans="1:19" ht="5.25" customHeight="1" x14ac:dyDescent="0.2">
      <c r="B124" s="35"/>
      <c r="C124" s="37"/>
      <c r="D124" s="37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13"/>
      <c r="S124" s="13"/>
    </row>
    <row r="125" spans="1:19" x14ac:dyDescent="0.2">
      <c r="A125" s="131"/>
      <c r="B125" s="132" t="s">
        <v>199</v>
      </c>
      <c r="C125" s="128"/>
      <c r="D125" s="129" t="s">
        <v>167</v>
      </c>
      <c r="E125" s="130">
        <v>4.25</v>
      </c>
      <c r="F125" s="130">
        <f>'22'!D58</f>
        <v>6</v>
      </c>
      <c r="G125" s="130">
        <f>'22'!E58</f>
        <v>5</v>
      </c>
      <c r="H125" s="130">
        <f>'22'!F58</f>
        <v>4</v>
      </c>
      <c r="I125" s="130">
        <f>'22'!G58</f>
        <v>2</v>
      </c>
      <c r="J125" s="130">
        <f>'22'!H58</f>
        <v>0</v>
      </c>
      <c r="K125" s="130">
        <f>'22'!I58</f>
        <v>0</v>
      </c>
      <c r="L125" s="130">
        <f>'22'!J58</f>
        <v>0</v>
      </c>
      <c r="M125" s="130">
        <f>'22'!K58</f>
        <v>0</v>
      </c>
      <c r="N125" s="130">
        <f>'22'!L58</f>
        <v>0</v>
      </c>
      <c r="O125" s="130">
        <f>'22'!M58</f>
        <v>0</v>
      </c>
      <c r="P125" s="130">
        <f>'22'!N58</f>
        <v>0</v>
      </c>
      <c r="Q125" s="130">
        <f>'22'!O58</f>
        <v>0</v>
      </c>
      <c r="R125" s="133">
        <f t="shared" si="33"/>
        <v>4.25</v>
      </c>
      <c r="S125" s="134">
        <f>R125-E125</f>
        <v>0</v>
      </c>
    </row>
    <row r="126" spans="1:19" x14ac:dyDescent="0.2">
      <c r="A126" s="123"/>
      <c r="B126" s="124" t="s">
        <v>162</v>
      </c>
      <c r="C126" s="49"/>
      <c r="D126" s="125" t="s">
        <v>167</v>
      </c>
      <c r="E126" s="126">
        <v>0.66666666666666663</v>
      </c>
      <c r="F126" s="126">
        <f>'22'!D59</f>
        <v>1</v>
      </c>
      <c r="G126" s="126">
        <f>'22'!E59</f>
        <v>1</v>
      </c>
      <c r="H126" s="126">
        <f>'22'!F59</f>
        <v>0</v>
      </c>
      <c r="I126" s="126">
        <f>'22'!G59</f>
        <v>0</v>
      </c>
      <c r="J126" s="126">
        <f>'22'!H59</f>
        <v>0</v>
      </c>
      <c r="K126" s="126">
        <f>'22'!I59</f>
        <v>0</v>
      </c>
      <c r="L126" s="126">
        <f>'22'!J59</f>
        <v>0</v>
      </c>
      <c r="M126" s="126">
        <f>'22'!K59</f>
        <v>0</v>
      </c>
      <c r="N126" s="126">
        <f>'22'!L59</f>
        <v>0</v>
      </c>
      <c r="O126" s="126">
        <f>'22'!M59</f>
        <v>0</v>
      </c>
      <c r="P126" s="126">
        <f>'22'!N59</f>
        <v>0</v>
      </c>
      <c r="Q126" s="126">
        <f>'22'!O59</f>
        <v>0</v>
      </c>
      <c r="R126" s="127">
        <f t="shared" si="33"/>
        <v>0.5</v>
      </c>
      <c r="S126" s="127">
        <f>R126-E126</f>
        <v>-0.16666666666666663</v>
      </c>
    </row>
    <row r="127" spans="1:19" ht="5.25" customHeight="1" x14ac:dyDescent="0.2">
      <c r="A127" s="51"/>
      <c r="B127" s="79"/>
      <c r="C127" s="38"/>
      <c r="D127" s="38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30"/>
      <c r="S127" s="30"/>
    </row>
    <row r="128" spans="1:19" x14ac:dyDescent="0.2">
      <c r="A128" s="29"/>
      <c r="B128" s="33" t="s">
        <v>136</v>
      </c>
      <c r="C128" s="38" t="s">
        <v>34</v>
      </c>
      <c r="D128" s="105" t="s">
        <v>167</v>
      </c>
      <c r="E128" s="30">
        <v>258.75</v>
      </c>
      <c r="F128" s="30">
        <f>+'22'!D55</f>
        <v>267</v>
      </c>
      <c r="G128" s="30">
        <f>+'22'!E55</f>
        <v>266</v>
      </c>
      <c r="H128" s="30">
        <f>+'22'!F55</f>
        <v>272</v>
      </c>
      <c r="I128" s="30">
        <f>+'22'!G55</f>
        <v>263</v>
      </c>
      <c r="J128" s="30">
        <f>+'22'!H55</f>
        <v>0</v>
      </c>
      <c r="K128" s="30">
        <f>+'22'!I55</f>
        <v>0</v>
      </c>
      <c r="L128" s="30">
        <f>+'22'!J55</f>
        <v>0</v>
      </c>
      <c r="M128" s="30">
        <f>+'22'!K55</f>
        <v>0</v>
      </c>
      <c r="N128" s="30">
        <f>+'22'!L55</f>
        <v>0</v>
      </c>
      <c r="O128" s="30">
        <f>+'22'!M55</f>
        <v>0</v>
      </c>
      <c r="P128" s="30">
        <f>+'22'!N55</f>
        <v>0</v>
      </c>
      <c r="Q128" s="30">
        <f>+'22'!O55</f>
        <v>0</v>
      </c>
      <c r="R128" s="30">
        <f t="shared" si="33"/>
        <v>267</v>
      </c>
      <c r="S128" s="30">
        <f>R128-E128</f>
        <v>8.25</v>
      </c>
    </row>
    <row r="129" spans="1:19" ht="5.25" customHeight="1" x14ac:dyDescent="0.2">
      <c r="B129" s="19"/>
      <c r="C129" s="37"/>
      <c r="D129" s="37"/>
      <c r="E129" s="52"/>
      <c r="F129" s="52"/>
      <c r="G129" s="53"/>
      <c r="H129" s="53"/>
      <c r="I129" s="53"/>
      <c r="J129" s="53"/>
      <c r="K129" s="52"/>
      <c r="L129" s="52"/>
      <c r="M129" s="52"/>
      <c r="N129" s="52"/>
      <c r="O129" s="52"/>
      <c r="P129" s="52"/>
      <c r="Q129" s="52"/>
      <c r="R129" s="13"/>
      <c r="S129" s="13"/>
    </row>
    <row r="130" spans="1:19" x14ac:dyDescent="0.2">
      <c r="B130" s="19" t="s">
        <v>80</v>
      </c>
      <c r="C130" s="37" t="s">
        <v>35</v>
      </c>
      <c r="D130" s="37" t="s">
        <v>165</v>
      </c>
      <c r="E130" s="52">
        <v>6100.583333333333</v>
      </c>
      <c r="F130" s="52">
        <f>+'22'!D52</f>
        <v>6343</v>
      </c>
      <c r="G130" s="52">
        <f>+'22'!E52</f>
        <v>6432</v>
      </c>
      <c r="H130" s="52">
        <f>+'22'!F52</f>
        <v>6549</v>
      </c>
      <c r="I130" s="52">
        <f>+'22'!G52</f>
        <v>6609</v>
      </c>
      <c r="J130" s="52">
        <f>+'22'!H52</f>
        <v>0</v>
      </c>
      <c r="K130" s="52">
        <f>+'22'!I52</f>
        <v>0</v>
      </c>
      <c r="L130" s="52">
        <f>+'22'!J52</f>
        <v>0</v>
      </c>
      <c r="M130" s="52">
        <f>+'22'!K52</f>
        <v>0</v>
      </c>
      <c r="N130" s="52">
        <f>+'22'!L52</f>
        <v>0</v>
      </c>
      <c r="O130" s="52">
        <f>+'22'!M52</f>
        <v>0</v>
      </c>
      <c r="P130" s="52">
        <f>+'22'!N52</f>
        <v>0</v>
      </c>
      <c r="Q130" s="52">
        <f>+'22'!O52</f>
        <v>0</v>
      </c>
      <c r="R130" s="12">
        <f>SUM(F130:Q130)/_No_Mths.</f>
        <v>6483.25</v>
      </c>
      <c r="S130" s="12">
        <f>R130-E130</f>
        <v>382.66666666666697</v>
      </c>
    </row>
    <row r="131" spans="1:19" x14ac:dyDescent="0.2">
      <c r="B131" s="19" t="s">
        <v>81</v>
      </c>
      <c r="C131" s="37" t="s">
        <v>35</v>
      </c>
      <c r="D131" s="37"/>
      <c r="E131" s="52">
        <v>0</v>
      </c>
      <c r="F131" s="52">
        <f>+'22'!D53</f>
        <v>0</v>
      </c>
      <c r="G131" s="52">
        <f>+'22'!E53</f>
        <v>0</v>
      </c>
      <c r="H131" s="52">
        <f>+'22'!F53</f>
        <v>0</v>
      </c>
      <c r="I131" s="52">
        <f>+'22'!G53</f>
        <v>0</v>
      </c>
      <c r="J131" s="52">
        <f>+'22'!H53</f>
        <v>0</v>
      </c>
      <c r="K131" s="52">
        <f>+'22'!I53</f>
        <v>0</v>
      </c>
      <c r="L131" s="52">
        <f>+'22'!J53</f>
        <v>0</v>
      </c>
      <c r="M131" s="52">
        <f>+'22'!K53</f>
        <v>0</v>
      </c>
      <c r="N131" s="52">
        <f>+'22'!L53</f>
        <v>0</v>
      </c>
      <c r="O131" s="52">
        <f>+'22'!M53</f>
        <v>0</v>
      </c>
      <c r="P131" s="52">
        <f>+'22'!N53</f>
        <v>0</v>
      </c>
      <c r="Q131" s="52">
        <f>+'22'!O53</f>
        <v>0</v>
      </c>
      <c r="R131" s="12">
        <f>SUM(F131:Q131)/_No_Mths.</f>
        <v>0</v>
      </c>
      <c r="S131" s="12">
        <f>R131-E131</f>
        <v>0</v>
      </c>
    </row>
    <row r="132" spans="1:19" x14ac:dyDescent="0.2">
      <c r="B132" s="19" t="s">
        <v>82</v>
      </c>
      <c r="C132" s="37" t="s">
        <v>35</v>
      </c>
      <c r="D132" s="37" t="s">
        <v>166</v>
      </c>
      <c r="E132" s="52">
        <v>4057.1666666666665</v>
      </c>
      <c r="F132" s="52">
        <f>+'22'!D54</f>
        <v>4085</v>
      </c>
      <c r="G132" s="52">
        <f>+'22'!E54</f>
        <v>4112</v>
      </c>
      <c r="H132" s="52">
        <f>+'22'!F54</f>
        <v>4156</v>
      </c>
      <c r="I132" s="52">
        <f>+'22'!G54</f>
        <v>4199</v>
      </c>
      <c r="J132" s="52">
        <f>+'22'!H54</f>
        <v>0</v>
      </c>
      <c r="K132" s="52">
        <f>+'22'!I54</f>
        <v>0</v>
      </c>
      <c r="L132" s="52">
        <f>+'22'!J54</f>
        <v>0</v>
      </c>
      <c r="M132" s="52">
        <f>+'22'!K54</f>
        <v>0</v>
      </c>
      <c r="N132" s="52">
        <f>+'22'!L54</f>
        <v>0</v>
      </c>
      <c r="O132" s="52">
        <f>+'22'!M54</f>
        <v>0</v>
      </c>
      <c r="P132" s="52">
        <f>+'22'!N54</f>
        <v>0</v>
      </c>
      <c r="Q132" s="52">
        <f>+'22'!O54</f>
        <v>0</v>
      </c>
      <c r="R132" s="12">
        <f>SUM(F132:Q132)/_No_Mths.</f>
        <v>4138</v>
      </c>
      <c r="S132" s="12">
        <f>R132-E132</f>
        <v>80.833333333333485</v>
      </c>
    </row>
    <row r="133" spans="1:19" x14ac:dyDescent="0.2">
      <c r="A133" s="29"/>
      <c r="B133" s="28" t="s">
        <v>137</v>
      </c>
      <c r="C133" s="38"/>
      <c r="D133" s="38"/>
      <c r="E133" s="30">
        <v>10157.75</v>
      </c>
      <c r="F133" s="30">
        <f>SUM(F130:F132)</f>
        <v>10428</v>
      </c>
      <c r="G133" s="30">
        <f t="shared" ref="G133:R133" si="34">SUM(G130:G132)</f>
        <v>10544</v>
      </c>
      <c r="H133" s="30">
        <f>SUM(H130:H132)</f>
        <v>10705</v>
      </c>
      <c r="I133" s="30">
        <f>SUM(I130:I132)</f>
        <v>10808</v>
      </c>
      <c r="J133" s="30">
        <f t="shared" si="34"/>
        <v>0</v>
      </c>
      <c r="K133" s="30">
        <f t="shared" si="34"/>
        <v>0</v>
      </c>
      <c r="L133" s="30">
        <f t="shared" si="34"/>
        <v>0</v>
      </c>
      <c r="M133" s="30">
        <f t="shared" si="34"/>
        <v>0</v>
      </c>
      <c r="N133" s="30">
        <f t="shared" si="34"/>
        <v>0</v>
      </c>
      <c r="O133" s="30">
        <f t="shared" ref="O133:Q133" si="35">SUM(O130:O132)</f>
        <v>0</v>
      </c>
      <c r="P133" s="30">
        <f t="shared" si="35"/>
        <v>0</v>
      </c>
      <c r="Q133" s="30">
        <f t="shared" si="35"/>
        <v>0</v>
      </c>
      <c r="R133" s="30">
        <f t="shared" si="34"/>
        <v>10621.25</v>
      </c>
      <c r="S133" s="30">
        <f>SUM(S130:S132)</f>
        <v>463.50000000000045</v>
      </c>
    </row>
    <row r="134" spans="1:19" ht="5.25" customHeight="1" x14ac:dyDescent="0.2">
      <c r="B134" s="35"/>
      <c r="C134" s="37"/>
      <c r="D134" s="37"/>
      <c r="E134" s="52"/>
      <c r="F134" s="52"/>
      <c r="G134" s="53"/>
      <c r="H134" s="53"/>
      <c r="I134" s="53"/>
      <c r="J134" s="53"/>
      <c r="K134" s="52"/>
      <c r="L134" s="52"/>
      <c r="M134" s="52"/>
      <c r="N134" s="52"/>
      <c r="O134" s="52"/>
      <c r="P134" s="52"/>
      <c r="Q134" s="52"/>
      <c r="R134" s="13"/>
      <c r="S134" s="13"/>
    </row>
    <row r="135" spans="1:19" x14ac:dyDescent="0.2">
      <c r="A135" s="29"/>
      <c r="B135" s="33" t="s">
        <v>40</v>
      </c>
      <c r="C135" s="38" t="s">
        <v>36</v>
      </c>
      <c r="D135" s="38"/>
      <c r="E135" s="30">
        <v>0</v>
      </c>
      <c r="F135" s="30">
        <f>+'22'!D3</f>
        <v>0</v>
      </c>
      <c r="G135" s="30">
        <f>+'22'!E3</f>
        <v>0</v>
      </c>
      <c r="H135" s="30">
        <f>+'22'!F3</f>
        <v>0</v>
      </c>
      <c r="I135" s="30">
        <f>+'22'!G3</f>
        <v>0</v>
      </c>
      <c r="J135" s="30">
        <f>+'22'!H3</f>
        <v>0</v>
      </c>
      <c r="K135" s="30">
        <f>+'22'!I3</f>
        <v>0</v>
      </c>
      <c r="L135" s="30">
        <f>+'22'!J3</f>
        <v>0</v>
      </c>
      <c r="M135" s="30">
        <f>+'22'!K3</f>
        <v>0</v>
      </c>
      <c r="N135" s="30">
        <f>+'22'!L3</f>
        <v>0</v>
      </c>
      <c r="O135" s="30">
        <f>+'22'!M3</f>
        <v>0</v>
      </c>
      <c r="P135" s="30">
        <f>+'22'!N3</f>
        <v>0</v>
      </c>
      <c r="Q135" s="30">
        <f>+'22'!O3</f>
        <v>0</v>
      </c>
      <c r="R135" s="30">
        <f>SUM(F135:Q135)/_No_Mths.</f>
        <v>0</v>
      </c>
      <c r="S135" s="30">
        <f>R135-E135</f>
        <v>0</v>
      </c>
    </row>
    <row r="136" spans="1:19" ht="6" customHeight="1" x14ac:dyDescent="0.2">
      <c r="B136" s="35"/>
      <c r="C136" s="11"/>
      <c r="D136" s="37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13"/>
      <c r="S136" s="13"/>
    </row>
    <row r="137" spans="1:19" ht="13.5" customHeight="1" x14ac:dyDescent="0.2">
      <c r="A137" s="27" t="s">
        <v>41</v>
      </c>
      <c r="B137" s="19" t="s">
        <v>103</v>
      </c>
      <c r="C137" s="37" t="s">
        <v>37</v>
      </c>
      <c r="D137" s="37" t="s">
        <v>166</v>
      </c>
      <c r="E137" s="52">
        <v>25.333333333333332</v>
      </c>
      <c r="F137" s="52">
        <f>+'22'!D79</f>
        <v>23</v>
      </c>
      <c r="G137" s="52">
        <f>+'22'!E79</f>
        <v>23</v>
      </c>
      <c r="H137" s="52">
        <f>+'22'!F79</f>
        <v>21</v>
      </c>
      <c r="I137" s="52">
        <f>+'22'!G79</f>
        <v>24</v>
      </c>
      <c r="J137" s="52">
        <f>+'22'!H79</f>
        <v>0</v>
      </c>
      <c r="K137" s="52">
        <f>+'22'!I79</f>
        <v>0</v>
      </c>
      <c r="L137" s="52">
        <f>+'22'!J79</f>
        <v>0</v>
      </c>
      <c r="M137" s="52">
        <f>+'22'!K79</f>
        <v>0</v>
      </c>
      <c r="N137" s="52">
        <f>+'22'!L79</f>
        <v>0</v>
      </c>
      <c r="O137" s="52">
        <f>+'22'!M79</f>
        <v>0</v>
      </c>
      <c r="P137" s="52">
        <f>+'22'!N79</f>
        <v>0</v>
      </c>
      <c r="Q137" s="52">
        <f>+'22'!O79</f>
        <v>0</v>
      </c>
      <c r="R137" s="12">
        <f>SUM(F137:Q137)/_No_Mths.</f>
        <v>22.75</v>
      </c>
      <c r="S137" s="12">
        <f>R137-E137</f>
        <v>-2.5833333333333321</v>
      </c>
    </row>
    <row r="138" spans="1:19" ht="13.5" customHeight="1" x14ac:dyDescent="0.2">
      <c r="B138" s="19" t="s">
        <v>104</v>
      </c>
      <c r="C138" s="37" t="s">
        <v>37</v>
      </c>
      <c r="D138" s="37" t="s">
        <v>166</v>
      </c>
      <c r="E138" s="52">
        <v>754.16666666666663</v>
      </c>
      <c r="F138" s="52">
        <f>+'22'!D80</f>
        <v>717</v>
      </c>
      <c r="G138" s="52">
        <f>+'22'!E80</f>
        <v>709</v>
      </c>
      <c r="H138" s="52">
        <f>+'22'!F80</f>
        <v>717</v>
      </c>
      <c r="I138" s="52">
        <f>+'22'!G80</f>
        <v>699</v>
      </c>
      <c r="J138" s="52">
        <f>+'22'!H80</f>
        <v>0</v>
      </c>
      <c r="K138" s="52">
        <f>+'22'!I80</f>
        <v>0</v>
      </c>
      <c r="L138" s="52">
        <f>+'22'!J80</f>
        <v>0</v>
      </c>
      <c r="M138" s="52">
        <f>+'22'!K80</f>
        <v>0</v>
      </c>
      <c r="N138" s="52">
        <f>+'22'!L80</f>
        <v>0</v>
      </c>
      <c r="O138" s="52">
        <f>+'22'!M80</f>
        <v>0</v>
      </c>
      <c r="P138" s="52">
        <f>+'22'!N80</f>
        <v>0</v>
      </c>
      <c r="Q138" s="52">
        <f>+'22'!O80</f>
        <v>0</v>
      </c>
      <c r="R138" s="12">
        <f>SUM(F138:Q138)/_No_Mths.</f>
        <v>710.5</v>
      </c>
      <c r="S138" s="12">
        <f>R138-E138</f>
        <v>-43.666666666666629</v>
      </c>
    </row>
    <row r="139" spans="1:19" ht="15.75" x14ac:dyDescent="0.25">
      <c r="A139" s="29"/>
      <c r="B139" s="33" t="s">
        <v>138</v>
      </c>
      <c r="C139" s="48"/>
      <c r="D139" s="48"/>
      <c r="E139" s="30">
        <v>779.5</v>
      </c>
      <c r="F139" s="30">
        <f>SUM(F137:F138)</f>
        <v>740</v>
      </c>
      <c r="G139" s="30">
        <f t="shared" ref="G139:N139" si="36">SUM(G137:G138)</f>
        <v>732</v>
      </c>
      <c r="H139" s="30">
        <f>SUM(H137:H138)</f>
        <v>738</v>
      </c>
      <c r="I139" s="30">
        <f>SUM(I137:I138)</f>
        <v>723</v>
      </c>
      <c r="J139" s="30">
        <f t="shared" si="36"/>
        <v>0</v>
      </c>
      <c r="K139" s="30">
        <f t="shared" si="36"/>
        <v>0</v>
      </c>
      <c r="L139" s="30">
        <f t="shared" si="36"/>
        <v>0</v>
      </c>
      <c r="M139" s="30">
        <f t="shared" si="36"/>
        <v>0</v>
      </c>
      <c r="N139" s="30">
        <f t="shared" si="36"/>
        <v>0</v>
      </c>
      <c r="O139" s="30">
        <f t="shared" ref="O139:Q139" si="37">SUM(O137:O138)</f>
        <v>0</v>
      </c>
      <c r="P139" s="30">
        <f t="shared" si="37"/>
        <v>0</v>
      </c>
      <c r="Q139" s="30">
        <f t="shared" si="37"/>
        <v>0</v>
      </c>
      <c r="R139" s="30">
        <f>SUM(R136:R138)</f>
        <v>733.25</v>
      </c>
      <c r="S139" s="30">
        <f>SUM(S137:S138)</f>
        <v>-46.249999999999957</v>
      </c>
    </row>
    <row r="140" spans="1:19" ht="5.25" customHeight="1" x14ac:dyDescent="0.2">
      <c r="B140" s="35"/>
      <c r="C140" s="49"/>
      <c r="D140" s="37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13"/>
      <c r="S140" s="13"/>
    </row>
    <row r="141" spans="1:19" x14ac:dyDescent="0.2">
      <c r="A141" s="34" t="s">
        <v>41</v>
      </c>
      <c r="B141" s="33" t="s">
        <v>139</v>
      </c>
      <c r="C141" s="38" t="s">
        <v>38</v>
      </c>
      <c r="D141" s="38"/>
      <c r="E141" s="30">
        <v>0</v>
      </c>
      <c r="F141" s="30">
        <f>+'22'!D92</f>
        <v>0</v>
      </c>
      <c r="G141" s="30">
        <f>+'22'!E92</f>
        <v>0</v>
      </c>
      <c r="H141" s="30">
        <f>+'22'!F92</f>
        <v>0</v>
      </c>
      <c r="I141" s="30">
        <f>+'22'!G92</f>
        <v>0</v>
      </c>
      <c r="J141" s="30">
        <f>+'22'!H92</f>
        <v>0</v>
      </c>
      <c r="K141" s="30">
        <f>+'22'!I92</f>
        <v>0</v>
      </c>
      <c r="L141" s="30">
        <f>+'22'!J92</f>
        <v>0</v>
      </c>
      <c r="M141" s="30">
        <f>+'22'!K92</f>
        <v>0</v>
      </c>
      <c r="N141" s="30">
        <f>+'22'!L92</f>
        <v>0</v>
      </c>
      <c r="O141" s="30">
        <f>+'22'!M92</f>
        <v>0</v>
      </c>
      <c r="P141" s="30">
        <f>+'22'!N92</f>
        <v>0</v>
      </c>
      <c r="Q141" s="30">
        <f>+'22'!O92</f>
        <v>0</v>
      </c>
      <c r="R141" s="30">
        <f>SUM(F141:Q141)/_No_Mths.</f>
        <v>0</v>
      </c>
      <c r="S141" s="30">
        <f>R141-E141</f>
        <v>0</v>
      </c>
    </row>
    <row r="142" spans="1:19" ht="5.25" customHeight="1" x14ac:dyDescent="0.2">
      <c r="A142" s="27"/>
      <c r="B142" s="35"/>
      <c r="C142" s="37"/>
      <c r="D142" s="37"/>
      <c r="E142" s="52"/>
      <c r="F142" s="52"/>
      <c r="G142" s="53"/>
      <c r="H142" s="53"/>
      <c r="I142" s="52"/>
      <c r="J142" s="52"/>
      <c r="K142" s="52"/>
      <c r="L142" s="52"/>
      <c r="M142" s="52"/>
      <c r="N142" s="52"/>
      <c r="O142" s="52"/>
      <c r="P142" s="52"/>
      <c r="Q142" s="52"/>
      <c r="R142" s="13"/>
      <c r="S142" s="13"/>
    </row>
    <row r="143" spans="1:19" x14ac:dyDescent="0.2">
      <c r="B143" s="35" t="s">
        <v>112</v>
      </c>
      <c r="C143" s="37" t="s">
        <v>39</v>
      </c>
      <c r="D143" s="37"/>
      <c r="E143" s="52">
        <v>0</v>
      </c>
      <c r="F143" s="52">
        <f>+'22'!D93</f>
        <v>0</v>
      </c>
      <c r="G143" s="52">
        <f>+'22'!E93</f>
        <v>0</v>
      </c>
      <c r="H143" s="52">
        <f>+'22'!F93</f>
        <v>0</v>
      </c>
      <c r="I143" s="52">
        <f>+'22'!G93</f>
        <v>0</v>
      </c>
      <c r="J143" s="52">
        <f>+'22'!H93</f>
        <v>0</v>
      </c>
      <c r="K143" s="52">
        <f>+'22'!I93</f>
        <v>0</v>
      </c>
      <c r="L143" s="52">
        <f>+'22'!J93</f>
        <v>0</v>
      </c>
      <c r="M143" s="52">
        <f>+'22'!K93</f>
        <v>0</v>
      </c>
      <c r="N143" s="52">
        <f>+'22'!L93</f>
        <v>0</v>
      </c>
      <c r="O143" s="52">
        <f>+'22'!M93</f>
        <v>0</v>
      </c>
      <c r="P143" s="52">
        <f>+'22'!N93</f>
        <v>0</v>
      </c>
      <c r="Q143" s="52">
        <f>+'22'!O93</f>
        <v>0</v>
      </c>
      <c r="R143" s="12">
        <f>SUM(F143:Q143)/_No_Mths.</f>
        <v>0</v>
      </c>
      <c r="S143" s="12">
        <f>R143-E143</f>
        <v>0</v>
      </c>
    </row>
    <row r="144" spans="1:19" x14ac:dyDescent="0.2">
      <c r="B144" s="35" t="s">
        <v>113</v>
      </c>
      <c r="C144" s="37" t="s">
        <v>39</v>
      </c>
      <c r="D144" s="37" t="s">
        <v>165</v>
      </c>
      <c r="E144" s="52">
        <v>0</v>
      </c>
      <c r="F144" s="52">
        <f>+'22'!D94</f>
        <v>0</v>
      </c>
      <c r="G144" s="52">
        <f>+'22'!E94</f>
        <v>0</v>
      </c>
      <c r="H144" s="52">
        <f>+'22'!F94</f>
        <v>0</v>
      </c>
      <c r="I144" s="52">
        <f>+'22'!G94</f>
        <v>0</v>
      </c>
      <c r="J144" s="52">
        <f>+'22'!H94</f>
        <v>0</v>
      </c>
      <c r="K144" s="52">
        <f>+'22'!I94</f>
        <v>0</v>
      </c>
      <c r="L144" s="52">
        <f>+'22'!J94</f>
        <v>0</v>
      </c>
      <c r="M144" s="52">
        <f>+'22'!K94</f>
        <v>0</v>
      </c>
      <c r="N144" s="52">
        <f>+'22'!L94</f>
        <v>0</v>
      </c>
      <c r="O144" s="52">
        <f>+'22'!M94</f>
        <v>0</v>
      </c>
      <c r="P144" s="52">
        <f>+'22'!N94</f>
        <v>0</v>
      </c>
      <c r="Q144" s="52">
        <f>+'22'!O94</f>
        <v>0</v>
      </c>
      <c r="R144" s="12">
        <f>SUM(F144:Q144)/_No_Mths.</f>
        <v>0</v>
      </c>
      <c r="S144" s="12">
        <f>R144-E144</f>
        <v>0</v>
      </c>
    </row>
    <row r="145" spans="1:19" x14ac:dyDescent="0.2">
      <c r="A145" s="29"/>
      <c r="B145" s="28" t="s">
        <v>140</v>
      </c>
      <c r="C145" s="38"/>
      <c r="D145" s="38"/>
      <c r="E145" s="30">
        <v>0</v>
      </c>
      <c r="F145" s="30">
        <f>SUM(F143:F144)</f>
        <v>0</v>
      </c>
      <c r="G145" s="30">
        <f t="shared" ref="G145:R145" si="38">SUM(G143:G144)</f>
        <v>0</v>
      </c>
      <c r="H145" s="30">
        <f>SUM(H143:H144)</f>
        <v>0</v>
      </c>
      <c r="I145" s="30">
        <f>SUM(I143:I144)</f>
        <v>0</v>
      </c>
      <c r="J145" s="30">
        <f t="shared" si="38"/>
        <v>0</v>
      </c>
      <c r="K145" s="30">
        <f t="shared" si="38"/>
        <v>0</v>
      </c>
      <c r="L145" s="30">
        <f t="shared" si="38"/>
        <v>0</v>
      </c>
      <c r="M145" s="30">
        <f t="shared" si="38"/>
        <v>0</v>
      </c>
      <c r="N145" s="30">
        <f t="shared" si="38"/>
        <v>0</v>
      </c>
      <c r="O145" s="30">
        <f t="shared" ref="O145:Q145" si="39">SUM(O143:O144)</f>
        <v>0</v>
      </c>
      <c r="P145" s="30">
        <f t="shared" si="39"/>
        <v>0</v>
      </c>
      <c r="Q145" s="30">
        <f t="shared" si="39"/>
        <v>0</v>
      </c>
      <c r="R145" s="30">
        <f t="shared" si="38"/>
        <v>0</v>
      </c>
      <c r="S145" s="30">
        <f>SUM(S143:S144)</f>
        <v>0</v>
      </c>
    </row>
    <row r="146" spans="1:19" ht="8.25" customHeight="1" thickBot="1" x14ac:dyDescent="0.3">
      <c r="E146" s="113"/>
      <c r="F146" s="54"/>
      <c r="G146" s="54"/>
      <c r="H146" s="54"/>
      <c r="I146" s="78"/>
      <c r="J146" s="54"/>
      <c r="K146" s="54"/>
      <c r="L146" s="54"/>
      <c r="M146" s="54"/>
      <c r="N146" s="55"/>
      <c r="O146" s="55"/>
      <c r="P146" s="55"/>
      <c r="Q146" s="55"/>
      <c r="R146" s="41"/>
      <c r="S146" s="41"/>
    </row>
    <row r="147" spans="1:19" ht="13.5" thickBot="1" x14ac:dyDescent="0.25">
      <c r="A147" s="45"/>
      <c r="B147" s="46" t="s">
        <v>141</v>
      </c>
      <c r="C147" s="45"/>
      <c r="D147" s="45"/>
      <c r="E147" s="56">
        <v>22533.333333333336</v>
      </c>
      <c r="F147" s="56">
        <f t="shared" ref="F147:S147" si="40">+F17+F19+F29+F31+F45+F50+F52+F54+F59+F66+F68+F74+F76+F81+F87+F98+F102+F110+F113+F115+F117+F119+F121+F123+F125+F128+F133+F135+F139+F141+F145+F126</f>
        <v>23232</v>
      </c>
      <c r="G147" s="56">
        <f t="shared" si="40"/>
        <v>23595</v>
      </c>
      <c r="H147" s="56">
        <f t="shared" si="40"/>
        <v>23720</v>
      </c>
      <c r="I147" s="56">
        <f t="shared" si="40"/>
        <v>23886</v>
      </c>
      <c r="J147" s="56">
        <f t="shared" si="40"/>
        <v>0</v>
      </c>
      <c r="K147" s="56">
        <f t="shared" si="40"/>
        <v>0</v>
      </c>
      <c r="L147" s="56">
        <f t="shared" si="40"/>
        <v>0</v>
      </c>
      <c r="M147" s="56">
        <f t="shared" si="40"/>
        <v>0</v>
      </c>
      <c r="N147" s="56">
        <f t="shared" si="40"/>
        <v>0</v>
      </c>
      <c r="O147" s="56">
        <f t="shared" si="40"/>
        <v>0</v>
      </c>
      <c r="P147" s="56">
        <f t="shared" si="40"/>
        <v>0</v>
      </c>
      <c r="Q147" s="56">
        <f t="shared" si="40"/>
        <v>0</v>
      </c>
      <c r="R147" s="56">
        <f t="shared" si="40"/>
        <v>23608.25</v>
      </c>
      <c r="S147" s="56">
        <f t="shared" si="40"/>
        <v>1074.9166666666667</v>
      </c>
    </row>
    <row r="148" spans="1:19" ht="13.5" thickTop="1" x14ac:dyDescent="0.2">
      <c r="A148" s="142"/>
      <c r="B148" s="136" t="s">
        <v>142</v>
      </c>
      <c r="C148" s="75"/>
      <c r="D148" s="101"/>
      <c r="E148" s="137">
        <v>154.58333333333334</v>
      </c>
      <c r="F148" s="133">
        <f>TXIXEXP_TXXICHILDREN!C37-F149</f>
        <v>181</v>
      </c>
      <c r="G148" s="133">
        <f>TXIXEXP_TXXICHILDREN!D37-G149</f>
        <v>198</v>
      </c>
      <c r="H148" s="133">
        <f>TXIXEXP_TXXICHILDREN!E37-H149</f>
        <v>201</v>
      </c>
      <c r="I148" s="133">
        <f>TXIXEXP_TXXICHILDREN!F37-I149</f>
        <v>193</v>
      </c>
      <c r="J148" s="133">
        <f>TXIXEXP_TXXICHILDREN!G37-J149</f>
        <v>0</v>
      </c>
      <c r="K148" s="133">
        <f>TXIXEXP_TXXICHILDREN!H37-K149</f>
        <v>0</v>
      </c>
      <c r="L148" s="133">
        <f>TXIXEXP_TXXICHILDREN!I37-L149</f>
        <v>0</v>
      </c>
      <c r="M148" s="133">
        <f>TXIXEXP_TXXICHILDREN!J37-M149</f>
        <v>0</v>
      </c>
      <c r="N148" s="133">
        <f>TXIXEXP_TXXICHILDREN!K37-N149</f>
        <v>0</v>
      </c>
      <c r="O148" s="133">
        <f>TXIXEXP_TXXICHILDREN!L37-O149</f>
        <v>0</v>
      </c>
      <c r="P148" s="133">
        <f>TXIXEXP_TXXICHILDREN!M37-P149</f>
        <v>0</v>
      </c>
      <c r="Q148" s="133">
        <f>TXIXEXP_TXXICHILDREN!N37-Q149</f>
        <v>0</v>
      </c>
      <c r="R148" s="12">
        <f>SUM(F148:Q148)/_No_Mths.</f>
        <v>193.25</v>
      </c>
      <c r="S148" s="12">
        <f>R148-E148</f>
        <v>38.666666666666657</v>
      </c>
    </row>
    <row r="149" spans="1:19" ht="13.5" thickBot="1" x14ac:dyDescent="0.25">
      <c r="A149" s="138"/>
      <c r="B149" s="46" t="s">
        <v>201</v>
      </c>
      <c r="C149" s="76"/>
      <c r="D149" s="140"/>
      <c r="E149" s="141">
        <v>44.666666666666664</v>
      </c>
      <c r="F149" s="47">
        <f>TXIXEXP_TXXICHILDREN!C36</f>
        <v>0</v>
      </c>
      <c r="G149" s="47">
        <f>TXIXEXP_TXXICHILDREN!D36</f>
        <v>0</v>
      </c>
      <c r="H149" s="47">
        <f>TXIXEXP_TXXICHILDREN!E36</f>
        <v>0</v>
      </c>
      <c r="I149" s="47">
        <f>TXIXEXP_TXXICHILDREN!F36</f>
        <v>0</v>
      </c>
      <c r="J149" s="47">
        <f>TXIXEXP_TXXICHILDREN!G36</f>
        <v>0</v>
      </c>
      <c r="K149" s="47">
        <f>TXIXEXP_TXXICHILDREN!H36</f>
        <v>0</v>
      </c>
      <c r="L149" s="47">
        <f>TXIXEXP_TXXICHILDREN!I36</f>
        <v>0</v>
      </c>
      <c r="M149" s="47">
        <f>TXIXEXP_TXXICHILDREN!J36</f>
        <v>0</v>
      </c>
      <c r="N149" s="47">
        <f>TXIXEXP_TXXICHILDREN!K36</f>
        <v>0</v>
      </c>
      <c r="O149" s="47">
        <f>TXIXEXP_TXXICHILDREN!L36</f>
        <v>0</v>
      </c>
      <c r="P149" s="47">
        <f>TXIXEXP_TXXICHILDREN!M36</f>
        <v>0</v>
      </c>
      <c r="Q149" s="47">
        <f>TXIXEXP_TXXICHILDREN!N36</f>
        <v>0</v>
      </c>
      <c r="R149" s="47">
        <f>SUM(F149:Q149)/_No_Mths.</f>
        <v>0</v>
      </c>
      <c r="S149" s="47">
        <f>R149-E149</f>
        <v>-44.666666666666664</v>
      </c>
    </row>
    <row r="150" spans="1:19" ht="14.25" thickTop="1" thickBot="1" x14ac:dyDescent="0.25">
      <c r="A150" s="45"/>
      <c r="B150" s="46" t="s">
        <v>173</v>
      </c>
      <c r="C150" s="101"/>
      <c r="D150" s="139"/>
      <c r="E150" s="135">
        <v>0</v>
      </c>
      <c r="F150" s="135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f>SUM(F150:Q150)/_No_Mths.</f>
        <v>0</v>
      </c>
      <c r="S150" s="47">
        <f>R150-E150</f>
        <v>0</v>
      </c>
    </row>
    <row r="151" spans="1:19" ht="14.25" thickTop="1" thickBot="1" x14ac:dyDescent="0.25">
      <c r="A151" s="73"/>
      <c r="B151" s="32" t="s">
        <v>143</v>
      </c>
      <c r="C151" s="75"/>
      <c r="D151" s="139"/>
      <c r="E151" s="72">
        <v>22732.583333333336</v>
      </c>
      <c r="F151" s="72">
        <f t="shared" ref="F151:R151" si="41">F147+F148+F149+F150</f>
        <v>23413</v>
      </c>
      <c r="G151" s="72">
        <f t="shared" si="41"/>
        <v>23793</v>
      </c>
      <c r="H151" s="168">
        <f t="shared" si="41"/>
        <v>23921</v>
      </c>
      <c r="I151" s="169">
        <f t="shared" si="41"/>
        <v>24079</v>
      </c>
      <c r="J151" s="72">
        <f t="shared" si="41"/>
        <v>0</v>
      </c>
      <c r="K151" s="72">
        <f t="shared" si="41"/>
        <v>0</v>
      </c>
      <c r="L151" s="72">
        <f t="shared" si="41"/>
        <v>0</v>
      </c>
      <c r="M151" s="72">
        <f t="shared" si="41"/>
        <v>0</v>
      </c>
      <c r="N151" s="72">
        <f t="shared" si="41"/>
        <v>0</v>
      </c>
      <c r="O151" s="72">
        <f t="shared" ref="O151" si="42">O147+O148+O149+O150</f>
        <v>0</v>
      </c>
      <c r="P151" s="72">
        <f t="shared" si="41"/>
        <v>0</v>
      </c>
      <c r="Q151" s="72">
        <f t="shared" si="41"/>
        <v>0</v>
      </c>
      <c r="R151" s="72">
        <f t="shared" si="41"/>
        <v>23801.5</v>
      </c>
      <c r="S151" s="56">
        <f>R151-E151</f>
        <v>1068.9166666666642</v>
      </c>
    </row>
    <row r="152" spans="1:19" ht="14.25" thickTop="1" thickBot="1" x14ac:dyDescent="0.25">
      <c r="A152" s="45"/>
      <c r="B152" s="74" t="s">
        <v>144</v>
      </c>
      <c r="C152" s="76"/>
      <c r="D152" s="73"/>
      <c r="E152" s="73"/>
      <c r="F152" s="99"/>
      <c r="G152" s="98"/>
      <c r="H152" s="167"/>
      <c r="I152" s="167"/>
      <c r="J152" s="99"/>
      <c r="K152" s="99"/>
      <c r="L152" s="99"/>
      <c r="M152" s="99"/>
      <c r="N152" s="99"/>
      <c r="O152" s="99"/>
      <c r="P152" s="99"/>
      <c r="Q152" s="99"/>
      <c r="R152" s="99"/>
      <c r="S152" s="99"/>
    </row>
    <row r="153" spans="1:19" ht="14.25" hidden="1" thickTop="1" thickBot="1" x14ac:dyDescent="0.25">
      <c r="A153" s="71"/>
      <c r="B153" s="82" t="s">
        <v>164</v>
      </c>
      <c r="C153" s="71"/>
      <c r="D153" s="45"/>
      <c r="E153" s="45">
        <v>22533.333333333336</v>
      </c>
      <c r="F153" s="83"/>
      <c r="G153" s="106"/>
      <c r="H153" s="114"/>
      <c r="I153" s="114"/>
      <c r="J153" s="94"/>
      <c r="K153" s="94"/>
      <c r="L153" s="94"/>
      <c r="M153" s="94"/>
      <c r="N153" s="94"/>
      <c r="O153" s="94"/>
      <c r="P153" s="94"/>
      <c r="Q153" s="94"/>
      <c r="R153" s="97">
        <f>R147</f>
        <v>23608.25</v>
      </c>
      <c r="S153" s="97"/>
    </row>
    <row r="154" spans="1:19" ht="13.5" thickTop="1" x14ac:dyDescent="0.2">
      <c r="A154" s="73"/>
      <c r="B154" s="159"/>
      <c r="C154" s="73"/>
      <c r="D154" s="73"/>
      <c r="E154" s="73"/>
      <c r="F154" s="94"/>
      <c r="G154" s="106"/>
      <c r="H154" s="167"/>
      <c r="I154" s="167"/>
      <c r="J154" s="94"/>
      <c r="K154" s="94"/>
      <c r="L154" s="94"/>
      <c r="M154" s="94"/>
      <c r="N154" s="94"/>
      <c r="O154" s="94"/>
      <c r="P154" s="94"/>
      <c r="Q154" s="94"/>
      <c r="R154" s="119"/>
      <c r="S154" s="119"/>
    </row>
    <row r="155" spans="1:19" x14ac:dyDescent="0.2">
      <c r="A155" s="73"/>
      <c r="B155" s="32" t="s">
        <v>205</v>
      </c>
      <c r="C155" s="73"/>
      <c r="D155" s="73"/>
      <c r="E155" s="160">
        <v>8398.5</v>
      </c>
      <c r="F155" s="160">
        <f>'22'!D5</f>
        <v>9630</v>
      </c>
      <c r="G155" s="160">
        <f>'22'!E5</f>
        <v>9777</v>
      </c>
      <c r="H155" s="160">
        <f>'22'!F5</f>
        <v>9858</v>
      </c>
      <c r="I155" s="160">
        <f>'22'!G5</f>
        <v>10004</v>
      </c>
      <c r="J155" s="160">
        <f>'22'!H5</f>
        <v>0</v>
      </c>
      <c r="K155" s="160">
        <f>'22'!I5</f>
        <v>0</v>
      </c>
      <c r="L155" s="160">
        <f>'22'!J5</f>
        <v>0</v>
      </c>
      <c r="M155" s="160">
        <f>'22'!K5</f>
        <v>0</v>
      </c>
      <c r="N155" s="160">
        <f>'22'!L5</f>
        <v>0</v>
      </c>
      <c r="O155" s="160">
        <f>'22'!M5</f>
        <v>0</v>
      </c>
      <c r="P155" s="160">
        <f>'22'!N5</f>
        <v>0</v>
      </c>
      <c r="Q155" s="160">
        <f>'22'!O5</f>
        <v>0</v>
      </c>
      <c r="R155" s="133">
        <f>SUM(F155:Q155)/_No_Mths.</f>
        <v>9817.25</v>
      </c>
      <c r="S155" s="133">
        <f>R155-E155</f>
        <v>1418.75</v>
      </c>
    </row>
    <row r="156" spans="1:19" x14ac:dyDescent="0.2">
      <c r="A156" s="73"/>
      <c r="B156" s="32" t="s">
        <v>206</v>
      </c>
      <c r="C156" s="73"/>
      <c r="D156" s="73"/>
      <c r="E156" s="52">
        <v>891.91666666666663</v>
      </c>
      <c r="F156" s="52">
        <f>'22'!D4</f>
        <v>1091</v>
      </c>
      <c r="G156" s="52">
        <f>'22'!E4</f>
        <v>1152</v>
      </c>
      <c r="H156" s="52">
        <f>'22'!F4</f>
        <v>1190</v>
      </c>
      <c r="I156" s="52">
        <f>'22'!G4</f>
        <v>1183</v>
      </c>
      <c r="J156" s="52">
        <f>'22'!H4</f>
        <v>0</v>
      </c>
      <c r="K156" s="52">
        <f>'22'!I4</f>
        <v>0</v>
      </c>
      <c r="L156" s="52">
        <f>'22'!J4</f>
        <v>0</v>
      </c>
      <c r="M156" s="52">
        <f>'22'!K4</f>
        <v>0</v>
      </c>
      <c r="N156" s="52">
        <f>'22'!L4</f>
        <v>0</v>
      </c>
      <c r="O156" s="52">
        <f>'22'!M4</f>
        <v>0</v>
      </c>
      <c r="P156" s="52">
        <f>'22'!N4</f>
        <v>0</v>
      </c>
      <c r="Q156" s="52">
        <f>'22'!O4</f>
        <v>0</v>
      </c>
      <c r="R156" s="12">
        <f>SUM(F156:Q156)/_No_Mths.</f>
        <v>1154</v>
      </c>
      <c r="S156" s="12">
        <f>R156-E156</f>
        <v>262.08333333333337</v>
      </c>
    </row>
    <row r="157" spans="1:19" x14ac:dyDescent="0.2">
      <c r="A157" s="73"/>
      <c r="B157" s="32" t="s">
        <v>208</v>
      </c>
      <c r="C157" s="73"/>
      <c r="D157" s="73"/>
      <c r="E157" s="109">
        <v>338.08333333333331</v>
      </c>
      <c r="F157" s="109">
        <f>'22'!D6</f>
        <v>375</v>
      </c>
      <c r="G157" s="109">
        <f>'22'!E6</f>
        <v>410</v>
      </c>
      <c r="H157" s="109">
        <f>'22'!F6</f>
        <v>431</v>
      </c>
      <c r="I157" s="109">
        <f>'22'!G6</f>
        <v>363</v>
      </c>
      <c r="J157" s="109">
        <f>'22'!H6</f>
        <v>0</v>
      </c>
      <c r="K157" s="109">
        <f>'22'!I6</f>
        <v>0</v>
      </c>
      <c r="L157" s="109">
        <f>'22'!J6</f>
        <v>0</v>
      </c>
      <c r="M157" s="109">
        <f>'22'!K6</f>
        <v>0</v>
      </c>
      <c r="N157" s="109">
        <f>'22'!L6</f>
        <v>0</v>
      </c>
      <c r="O157" s="109">
        <f>'22'!M6</f>
        <v>0</v>
      </c>
      <c r="P157" s="109">
        <f>'22'!N6</f>
        <v>0</v>
      </c>
      <c r="Q157" s="109">
        <f>'22'!O6</f>
        <v>0</v>
      </c>
      <c r="R157" s="127">
        <f>SUM(F157:Q157)/_No_Mths.</f>
        <v>394.75</v>
      </c>
      <c r="S157" s="127">
        <f>R157-E157</f>
        <v>56.666666666666686</v>
      </c>
    </row>
    <row r="158" spans="1:19" ht="13.5" thickBot="1" x14ac:dyDescent="0.25">
      <c r="A158" s="73"/>
      <c r="B158" s="32" t="s">
        <v>207</v>
      </c>
      <c r="C158" s="73"/>
      <c r="D158" s="73"/>
      <c r="E158" s="72">
        <v>9628.5</v>
      </c>
      <c r="F158" s="56">
        <f t="shared" ref="F158:Q158" si="43">SUM(F155:F157)</f>
        <v>11096</v>
      </c>
      <c r="G158" s="72">
        <f t="shared" si="43"/>
        <v>11339</v>
      </c>
      <c r="H158" s="56">
        <f t="shared" si="43"/>
        <v>11479</v>
      </c>
      <c r="I158" s="72">
        <f t="shared" si="43"/>
        <v>11550</v>
      </c>
      <c r="J158" s="56">
        <f t="shared" si="43"/>
        <v>0</v>
      </c>
      <c r="K158" s="72">
        <f t="shared" si="43"/>
        <v>0</v>
      </c>
      <c r="L158" s="56">
        <f t="shared" si="43"/>
        <v>0</v>
      </c>
      <c r="M158" s="72">
        <f t="shared" si="43"/>
        <v>0</v>
      </c>
      <c r="N158" s="56">
        <f t="shared" si="43"/>
        <v>0</v>
      </c>
      <c r="O158" s="56">
        <f t="shared" si="43"/>
        <v>0</v>
      </c>
      <c r="P158" s="56">
        <f t="shared" si="43"/>
        <v>0</v>
      </c>
      <c r="Q158" s="72">
        <f t="shared" si="43"/>
        <v>0</v>
      </c>
      <c r="R158" s="56">
        <f>SUM(R155:R157)</f>
        <v>11366</v>
      </c>
      <c r="S158" s="72">
        <f>SUM(S155:S157)</f>
        <v>1737.5000000000002</v>
      </c>
    </row>
    <row r="159" spans="1:19" ht="13.5" thickTop="1" x14ac:dyDescent="0.2">
      <c r="A159" s="73"/>
      <c r="B159" s="159"/>
      <c r="C159" s="73"/>
      <c r="D159" s="73"/>
      <c r="E159" s="73"/>
      <c r="F159" s="94"/>
      <c r="G159" s="106"/>
      <c r="H159" s="106"/>
      <c r="I159" s="106"/>
      <c r="J159" s="106"/>
      <c r="K159" s="106"/>
      <c r="L159" s="106"/>
      <c r="M159" s="106"/>
      <c r="N159" s="106"/>
      <c r="O159" s="94"/>
      <c r="P159" s="94"/>
      <c r="Q159" s="94"/>
      <c r="R159" s="119"/>
      <c r="S159" s="119"/>
    </row>
    <row r="160" spans="1:19" x14ac:dyDescent="0.2">
      <c r="B160" s="81" t="s">
        <v>174</v>
      </c>
      <c r="F160" s="6">
        <f>F151+F158</f>
        <v>34509</v>
      </c>
      <c r="G160" s="158">
        <f t="shared" ref="G160:L160" si="44">G151+G158</f>
        <v>35132</v>
      </c>
      <c r="H160" s="158">
        <f t="shared" si="44"/>
        <v>35400</v>
      </c>
      <c r="I160" s="158">
        <f t="shared" si="44"/>
        <v>35629</v>
      </c>
      <c r="J160" s="158">
        <f t="shared" si="44"/>
        <v>0</v>
      </c>
      <c r="K160" s="158">
        <f t="shared" si="44"/>
        <v>0</v>
      </c>
      <c r="L160" s="158">
        <f t="shared" si="44"/>
        <v>0</v>
      </c>
      <c r="M160" s="158">
        <f>M151+M158</f>
        <v>0</v>
      </c>
      <c r="N160" s="158">
        <f>N151+N158</f>
        <v>0</v>
      </c>
      <c r="O160" s="158">
        <f>O151+O158</f>
        <v>0</v>
      </c>
      <c r="P160" s="158">
        <f>P151+P158</f>
        <v>0</v>
      </c>
      <c r="Q160" s="158">
        <f>Q151+Q158</f>
        <v>0</v>
      </c>
    </row>
    <row r="161" spans="2:18" x14ac:dyDescent="0.2">
      <c r="B161" s="96" t="s">
        <v>175</v>
      </c>
      <c r="F161" s="96">
        <f>-F148-F149</f>
        <v>-181</v>
      </c>
      <c r="G161" s="96">
        <f t="shared" ref="G161:L161" si="45">-G148-G149</f>
        <v>-198</v>
      </c>
      <c r="H161" s="96">
        <f t="shared" si="45"/>
        <v>-201</v>
      </c>
      <c r="I161" s="96">
        <f t="shared" si="45"/>
        <v>-193</v>
      </c>
      <c r="J161" s="96">
        <f t="shared" si="45"/>
        <v>0</v>
      </c>
      <c r="K161" s="96">
        <f t="shared" si="45"/>
        <v>0</v>
      </c>
      <c r="L161" s="96">
        <f t="shared" si="45"/>
        <v>0</v>
      </c>
      <c r="M161" s="96">
        <f>-M148-M149</f>
        <v>0</v>
      </c>
      <c r="N161" s="96">
        <f>-N148-N149</f>
        <v>0</v>
      </c>
      <c r="O161" s="96">
        <f>-O148-O149</f>
        <v>0</v>
      </c>
      <c r="P161" s="96">
        <f>-P148-P149</f>
        <v>0</v>
      </c>
      <c r="Q161" s="96">
        <f>-Q148-Q149</f>
        <v>0</v>
      </c>
    </row>
    <row r="162" spans="2:18" x14ac:dyDescent="0.2">
      <c r="B162" s="96" t="s">
        <v>218</v>
      </c>
      <c r="F162" s="96">
        <f t="shared" ref="F162:Q162" si="46">-F158</f>
        <v>-11096</v>
      </c>
      <c r="G162" s="96">
        <f t="shared" si="46"/>
        <v>-11339</v>
      </c>
      <c r="H162" s="96">
        <f t="shared" si="46"/>
        <v>-11479</v>
      </c>
      <c r="I162" s="96">
        <f t="shared" si="46"/>
        <v>-11550</v>
      </c>
      <c r="J162" s="96">
        <f t="shared" si="46"/>
        <v>0</v>
      </c>
      <c r="K162" s="96">
        <f t="shared" si="46"/>
        <v>0</v>
      </c>
      <c r="L162" s="96">
        <f t="shared" si="46"/>
        <v>0</v>
      </c>
      <c r="M162" s="96">
        <f t="shared" si="46"/>
        <v>0</v>
      </c>
      <c r="N162" s="96">
        <f t="shared" si="46"/>
        <v>0</v>
      </c>
      <c r="O162" s="96">
        <f t="shared" si="46"/>
        <v>0</v>
      </c>
      <c r="P162" s="96">
        <f t="shared" si="46"/>
        <v>0</v>
      </c>
      <c r="Q162" s="96">
        <f t="shared" si="46"/>
        <v>0</v>
      </c>
    </row>
    <row r="163" spans="2:18" x14ac:dyDescent="0.2">
      <c r="B163" s="106" t="s">
        <v>259</v>
      </c>
      <c r="F163" s="21">
        <f t="shared" ref="F163:Q163" si="47">-F113</f>
        <v>-1225</v>
      </c>
      <c r="G163" s="21">
        <f t="shared" si="47"/>
        <v>-1207</v>
      </c>
      <c r="H163" s="21">
        <f t="shared" si="47"/>
        <v>-1147</v>
      </c>
      <c r="I163" s="21">
        <f t="shared" si="47"/>
        <v>-1084</v>
      </c>
      <c r="J163" s="21">
        <f t="shared" si="47"/>
        <v>0</v>
      </c>
      <c r="K163" s="21">
        <f t="shared" si="47"/>
        <v>0</v>
      </c>
      <c r="L163" s="21">
        <f t="shared" si="47"/>
        <v>0</v>
      </c>
      <c r="M163" s="21">
        <f t="shared" si="47"/>
        <v>0</v>
      </c>
      <c r="N163" s="21">
        <f t="shared" si="47"/>
        <v>0</v>
      </c>
      <c r="O163" s="21">
        <f t="shared" si="47"/>
        <v>0</v>
      </c>
      <c r="P163" s="21">
        <f t="shared" si="47"/>
        <v>0</v>
      </c>
      <c r="Q163" s="21">
        <f t="shared" si="47"/>
        <v>0</v>
      </c>
    </row>
    <row r="164" spans="2:18" x14ac:dyDescent="0.2">
      <c r="B164" s="106" t="s">
        <v>181</v>
      </c>
      <c r="F164" s="106">
        <f t="shared" ref="F164:Q164" si="48">SUM(F160:F163)</f>
        <v>22007</v>
      </c>
      <c r="G164" s="106">
        <f t="shared" si="48"/>
        <v>22388</v>
      </c>
      <c r="H164" s="106">
        <f t="shared" si="48"/>
        <v>22573</v>
      </c>
      <c r="I164" s="106">
        <f t="shared" si="48"/>
        <v>22802</v>
      </c>
      <c r="J164" s="106">
        <f t="shared" si="48"/>
        <v>0</v>
      </c>
      <c r="K164" s="106">
        <f t="shared" si="48"/>
        <v>0</v>
      </c>
      <c r="L164" s="106">
        <f t="shared" si="48"/>
        <v>0</v>
      </c>
      <c r="M164" s="106">
        <f t="shared" si="48"/>
        <v>0</v>
      </c>
      <c r="N164" s="106">
        <f t="shared" si="48"/>
        <v>0</v>
      </c>
      <c r="O164" s="106">
        <f t="shared" si="48"/>
        <v>0</v>
      </c>
      <c r="P164" s="106">
        <f t="shared" si="48"/>
        <v>0</v>
      </c>
      <c r="Q164" s="106">
        <f t="shared" si="48"/>
        <v>0</v>
      </c>
    </row>
    <row r="165" spans="2:18" x14ac:dyDescent="0.2">
      <c r="B165" s="106"/>
    </row>
    <row r="166" spans="2:18" x14ac:dyDescent="0.2">
      <c r="B166" s="96" t="s">
        <v>182</v>
      </c>
      <c r="F166" s="96">
        <v>429578</v>
      </c>
      <c r="G166" s="96">
        <f t="shared" ref="G166:Q166" si="49">F164</f>
        <v>22007</v>
      </c>
      <c r="H166" s="96">
        <f t="shared" si="49"/>
        <v>22388</v>
      </c>
      <c r="I166" s="96">
        <f t="shared" si="49"/>
        <v>22573</v>
      </c>
      <c r="J166" s="96">
        <f t="shared" si="49"/>
        <v>22802</v>
      </c>
      <c r="K166" s="96">
        <f t="shared" si="49"/>
        <v>0</v>
      </c>
      <c r="L166" s="96">
        <f t="shared" si="49"/>
        <v>0</v>
      </c>
      <c r="M166" s="96">
        <f t="shared" si="49"/>
        <v>0</v>
      </c>
      <c r="N166" s="96">
        <f t="shared" si="49"/>
        <v>0</v>
      </c>
      <c r="O166" s="96">
        <f t="shared" si="49"/>
        <v>0</v>
      </c>
      <c r="P166" s="96">
        <f t="shared" si="49"/>
        <v>0</v>
      </c>
      <c r="Q166" s="96">
        <f t="shared" si="49"/>
        <v>0</v>
      </c>
    </row>
    <row r="167" spans="2:18" x14ac:dyDescent="0.2">
      <c r="L167" s="6"/>
      <c r="M167" s="6"/>
      <c r="N167" s="6"/>
      <c r="O167" s="6"/>
      <c r="P167" s="6"/>
    </row>
    <row r="168" spans="2:18" x14ac:dyDescent="0.2">
      <c r="B168" s="100" t="s">
        <v>183</v>
      </c>
      <c r="F168" s="6">
        <f t="shared" ref="F168:L168" si="50">F164-F166</f>
        <v>-407571</v>
      </c>
      <c r="G168" s="6">
        <f t="shared" si="50"/>
        <v>381</v>
      </c>
      <c r="H168" s="6">
        <f t="shared" si="50"/>
        <v>185</v>
      </c>
      <c r="I168" s="6">
        <f t="shared" si="50"/>
        <v>229</v>
      </c>
      <c r="J168" s="6">
        <f t="shared" si="50"/>
        <v>-22802</v>
      </c>
      <c r="K168" s="6">
        <f t="shared" si="50"/>
        <v>0</v>
      </c>
      <c r="L168" s="6">
        <f t="shared" si="50"/>
        <v>0</v>
      </c>
      <c r="M168" s="6">
        <f>M164-M166</f>
        <v>0</v>
      </c>
      <c r="N168" s="6">
        <f>N164-N166</f>
        <v>0</v>
      </c>
      <c r="O168" s="6">
        <f>O164-O166</f>
        <v>0</v>
      </c>
      <c r="P168" s="6">
        <f>P164-P166</f>
        <v>0</v>
      </c>
      <c r="Q168" s="6">
        <f>Q164-Q166</f>
        <v>0</v>
      </c>
    </row>
    <row r="169" spans="2:18" x14ac:dyDescent="0.2">
      <c r="B169" s="5" t="s">
        <v>184</v>
      </c>
      <c r="F169" s="7">
        <f>F168/F166</f>
        <v>-0.94877065399066063</v>
      </c>
      <c r="G169" s="7">
        <f t="shared" ref="G169:Q169" si="51">G168/G166</f>
        <v>1.7312673240332623E-2</v>
      </c>
      <c r="H169" s="7">
        <f t="shared" si="51"/>
        <v>8.2633553689476502E-3</v>
      </c>
      <c r="I169" s="7">
        <f t="shared" si="51"/>
        <v>1.014486333229965E-2</v>
      </c>
      <c r="J169" s="7">
        <f t="shared" si="51"/>
        <v>-1</v>
      </c>
      <c r="K169" s="7" t="e">
        <f t="shared" si="51"/>
        <v>#DIV/0!</v>
      </c>
      <c r="L169" s="7" t="e">
        <f t="shared" si="51"/>
        <v>#DIV/0!</v>
      </c>
      <c r="M169" s="7" t="e">
        <f t="shared" si="51"/>
        <v>#DIV/0!</v>
      </c>
      <c r="N169" s="7" t="e">
        <f t="shared" si="51"/>
        <v>#DIV/0!</v>
      </c>
      <c r="O169" s="7" t="e">
        <f t="shared" si="51"/>
        <v>#DIV/0!</v>
      </c>
      <c r="P169" s="7" t="e">
        <f t="shared" si="51"/>
        <v>#DIV/0!</v>
      </c>
      <c r="Q169" s="7" t="e">
        <f t="shared" si="51"/>
        <v>#DIV/0!</v>
      </c>
    </row>
    <row r="170" spans="2:18" x14ac:dyDescent="0.2">
      <c r="C170" s="3"/>
    </row>
    <row r="171" spans="2:18" x14ac:dyDescent="0.2">
      <c r="B171" s="3" t="s">
        <v>168</v>
      </c>
      <c r="C171" s="3"/>
      <c r="E171" s="96">
        <v>3943.9166666666665</v>
      </c>
      <c r="F171" s="6">
        <f t="shared" ref="F171:R171" si="52">F22+F23+F26+F27+F45+F50+F52+F54+F59+F62+F65+F68+F87+F105+F117+F119+F121+F123-F42-F43</f>
        <v>4129</v>
      </c>
      <c r="G171" s="158">
        <f t="shared" si="52"/>
        <v>4225</v>
      </c>
      <c r="H171" s="158">
        <f t="shared" si="52"/>
        <v>4196</v>
      </c>
      <c r="I171" s="158">
        <f t="shared" si="52"/>
        <v>4224</v>
      </c>
      <c r="J171" s="158">
        <f t="shared" si="52"/>
        <v>0</v>
      </c>
      <c r="K171" s="158">
        <f t="shared" si="52"/>
        <v>0</v>
      </c>
      <c r="L171" s="158">
        <f>L22+L23+L26+L27+L45+L50+L52+L54+L59+L62+L65+L68+L87+L105+L117+L119+L121+L123-L42-L43</f>
        <v>0</v>
      </c>
      <c r="M171" s="158">
        <f t="shared" si="52"/>
        <v>0</v>
      </c>
      <c r="N171" s="158">
        <f t="shared" si="52"/>
        <v>0</v>
      </c>
      <c r="O171" s="158">
        <f t="shared" si="52"/>
        <v>0</v>
      </c>
      <c r="P171" s="158">
        <f t="shared" si="52"/>
        <v>0</v>
      </c>
      <c r="Q171" s="158">
        <f t="shared" si="52"/>
        <v>0</v>
      </c>
      <c r="R171" s="158">
        <f t="shared" si="52"/>
        <v>4193.5</v>
      </c>
    </row>
    <row r="172" spans="2:18" x14ac:dyDescent="0.2">
      <c r="B172" s="3" t="s">
        <v>176</v>
      </c>
      <c r="C172" s="3"/>
      <c r="E172" s="96">
        <v>3170.0833333333335</v>
      </c>
      <c r="F172" s="6">
        <f t="shared" ref="F172:R172" si="53">F21+F24+F25+F61+F64+F102+F104+F115+F125+F126+F28+F128+F19+F135+F81+F42+F43</f>
        <v>3893</v>
      </c>
      <c r="G172" s="158">
        <f t="shared" si="53"/>
        <v>3966</v>
      </c>
      <c r="H172" s="158">
        <f t="shared" si="53"/>
        <v>3956</v>
      </c>
      <c r="I172" s="158">
        <f t="shared" si="53"/>
        <v>4043</v>
      </c>
      <c r="J172" s="158">
        <f t="shared" si="53"/>
        <v>0</v>
      </c>
      <c r="K172" s="158">
        <f t="shared" si="53"/>
        <v>0</v>
      </c>
      <c r="L172" s="158">
        <f t="shared" si="53"/>
        <v>0</v>
      </c>
      <c r="M172" s="158">
        <f t="shared" si="53"/>
        <v>0</v>
      </c>
      <c r="N172" s="158">
        <f t="shared" si="53"/>
        <v>0</v>
      </c>
      <c r="O172" s="158">
        <f t="shared" si="53"/>
        <v>0</v>
      </c>
      <c r="P172" s="158">
        <f t="shared" si="53"/>
        <v>0</v>
      </c>
      <c r="Q172" s="158">
        <f t="shared" si="53"/>
        <v>0</v>
      </c>
      <c r="R172" s="158">
        <f t="shared" si="53"/>
        <v>3964.5</v>
      </c>
    </row>
    <row r="173" spans="2:18" x14ac:dyDescent="0.2">
      <c r="B173" s="3" t="s">
        <v>171</v>
      </c>
      <c r="C173" s="3"/>
      <c r="E173" s="96">
        <v>7229.5</v>
      </c>
      <c r="F173" s="6">
        <f t="shared" ref="F173:R173" si="54">F5+F8+F11+F12+F70+F89+F94+F130+F145</f>
        <v>7378</v>
      </c>
      <c r="G173" s="6">
        <f t="shared" si="54"/>
        <v>7502</v>
      </c>
      <c r="H173" s="6">
        <f t="shared" si="54"/>
        <v>7646</v>
      </c>
      <c r="I173" s="6">
        <f t="shared" si="54"/>
        <v>7750</v>
      </c>
      <c r="J173" s="6">
        <f t="shared" si="54"/>
        <v>0</v>
      </c>
      <c r="K173" s="6">
        <f t="shared" si="54"/>
        <v>0</v>
      </c>
      <c r="L173" s="6">
        <f t="shared" si="54"/>
        <v>0</v>
      </c>
      <c r="M173" s="158">
        <f t="shared" si="54"/>
        <v>0</v>
      </c>
      <c r="N173" s="158">
        <f t="shared" si="54"/>
        <v>0</v>
      </c>
      <c r="O173" s="158">
        <f t="shared" si="54"/>
        <v>0</v>
      </c>
      <c r="P173" s="158">
        <f t="shared" si="54"/>
        <v>0</v>
      </c>
      <c r="Q173" s="158">
        <f t="shared" si="54"/>
        <v>0</v>
      </c>
      <c r="R173" s="158">
        <f t="shared" si="54"/>
        <v>7569</v>
      </c>
    </row>
    <row r="174" spans="2:18" x14ac:dyDescent="0.2">
      <c r="B174" s="3" t="s">
        <v>177</v>
      </c>
      <c r="E174" s="96">
        <v>6600.333333333333</v>
      </c>
      <c r="F174" s="6">
        <f t="shared" ref="F174:R174" si="55">F6+F7+F9+F10+F13+F14+F15+F16+F31+F72+F73+F76+F90+F91+F92+F93+F95+F96+F97+F132+F137+F138</f>
        <v>6607</v>
      </c>
      <c r="G174" s="6">
        <f t="shared" si="55"/>
        <v>6695</v>
      </c>
      <c r="H174" s="6">
        <f t="shared" si="55"/>
        <v>6775</v>
      </c>
      <c r="I174" s="6">
        <f t="shared" si="55"/>
        <v>6785</v>
      </c>
      <c r="J174" s="6">
        <f t="shared" si="55"/>
        <v>0</v>
      </c>
      <c r="K174" s="6">
        <f t="shared" si="55"/>
        <v>0</v>
      </c>
      <c r="L174" s="6">
        <f t="shared" si="55"/>
        <v>0</v>
      </c>
      <c r="M174" s="158">
        <f t="shared" si="55"/>
        <v>0</v>
      </c>
      <c r="N174" s="158">
        <f t="shared" si="55"/>
        <v>0</v>
      </c>
      <c r="O174" s="158">
        <f t="shared" si="55"/>
        <v>0</v>
      </c>
      <c r="P174" s="158">
        <f t="shared" si="55"/>
        <v>0</v>
      </c>
      <c r="Q174" s="158">
        <f t="shared" si="55"/>
        <v>0</v>
      </c>
      <c r="R174" s="158">
        <f t="shared" si="55"/>
        <v>6715.5</v>
      </c>
    </row>
    <row r="175" spans="2:18" ht="13.5" thickBot="1" x14ac:dyDescent="0.25">
      <c r="B175" s="115" t="s">
        <v>178</v>
      </c>
      <c r="E175" s="119">
        <v>20943.833333333332</v>
      </c>
      <c r="F175" s="117">
        <f t="shared" ref="F175:N175" si="56">SUM(F171:F174)</f>
        <v>22007</v>
      </c>
      <c r="G175" s="117">
        <f t="shared" si="56"/>
        <v>22388</v>
      </c>
      <c r="H175" s="117">
        <f t="shared" si="56"/>
        <v>22573</v>
      </c>
      <c r="I175" s="117">
        <f t="shared" si="56"/>
        <v>22802</v>
      </c>
      <c r="J175" s="117">
        <f t="shared" si="56"/>
        <v>0</v>
      </c>
      <c r="K175" s="117">
        <f t="shared" si="56"/>
        <v>0</v>
      </c>
      <c r="L175" s="117">
        <f t="shared" si="56"/>
        <v>0</v>
      </c>
      <c r="M175" s="117">
        <f t="shared" si="56"/>
        <v>0</v>
      </c>
      <c r="N175" s="117">
        <f t="shared" si="56"/>
        <v>0</v>
      </c>
      <c r="O175" s="117">
        <f>SUM(O171:O174)</f>
        <v>0</v>
      </c>
      <c r="P175" s="117">
        <f>SUM(P171:P174)</f>
        <v>0</v>
      </c>
      <c r="Q175" s="117">
        <f>SUM(Q171:Q174)</f>
        <v>0</v>
      </c>
      <c r="R175" s="117">
        <f>SUM(R171:R174)</f>
        <v>22442.5</v>
      </c>
    </row>
    <row r="176" spans="2:18" ht="13.5" thickTop="1" x14ac:dyDescent="0.2">
      <c r="B176" s="19"/>
      <c r="E176" s="73"/>
      <c r="F176" s="6"/>
    </row>
    <row r="177" spans="2:18" x14ac:dyDescent="0.2">
      <c r="B177" s="19" t="s">
        <v>219</v>
      </c>
      <c r="E177" s="96">
        <v>9628.5</v>
      </c>
      <c r="F177" s="158">
        <f t="shared" ref="F177:R177" si="57">F158</f>
        <v>11096</v>
      </c>
      <c r="G177" s="158">
        <f t="shared" si="57"/>
        <v>11339</v>
      </c>
      <c r="H177" s="158">
        <f t="shared" si="57"/>
        <v>11479</v>
      </c>
      <c r="I177" s="158">
        <f t="shared" si="57"/>
        <v>11550</v>
      </c>
      <c r="J177" s="158">
        <f t="shared" si="57"/>
        <v>0</v>
      </c>
      <c r="K177" s="158">
        <f t="shared" si="57"/>
        <v>0</v>
      </c>
      <c r="L177" s="158">
        <f t="shared" si="57"/>
        <v>0</v>
      </c>
      <c r="M177" s="158">
        <f t="shared" si="57"/>
        <v>0</v>
      </c>
      <c r="N177" s="158">
        <f t="shared" si="57"/>
        <v>0</v>
      </c>
      <c r="O177" s="158">
        <f t="shared" si="57"/>
        <v>0</v>
      </c>
      <c r="P177" s="158">
        <f t="shared" si="57"/>
        <v>0</v>
      </c>
      <c r="Q177" s="158">
        <f t="shared" si="57"/>
        <v>0</v>
      </c>
      <c r="R177" s="158">
        <f t="shared" si="57"/>
        <v>11366</v>
      </c>
    </row>
    <row r="178" spans="2:18" x14ac:dyDescent="0.2">
      <c r="B178" s="19" t="s">
        <v>258</v>
      </c>
      <c r="E178" s="96">
        <v>1589.5</v>
      </c>
      <c r="F178" s="6">
        <f t="shared" ref="F178:R178" si="58">F113</f>
        <v>1225</v>
      </c>
      <c r="G178" s="6">
        <f t="shared" si="58"/>
        <v>1207</v>
      </c>
      <c r="H178" s="6">
        <f t="shared" si="58"/>
        <v>1147</v>
      </c>
      <c r="I178" s="6">
        <f t="shared" si="58"/>
        <v>1084</v>
      </c>
      <c r="J178" s="6">
        <f t="shared" si="58"/>
        <v>0</v>
      </c>
      <c r="K178" s="6">
        <f t="shared" si="58"/>
        <v>0</v>
      </c>
      <c r="L178" s="6">
        <f t="shared" si="58"/>
        <v>0</v>
      </c>
      <c r="M178" s="6">
        <f t="shared" si="58"/>
        <v>0</v>
      </c>
      <c r="N178" s="6">
        <f t="shared" si="58"/>
        <v>0</v>
      </c>
      <c r="O178" s="6">
        <f t="shared" si="58"/>
        <v>0</v>
      </c>
      <c r="P178" s="6">
        <f t="shared" si="58"/>
        <v>0</v>
      </c>
      <c r="Q178" s="6">
        <f t="shared" si="58"/>
        <v>0</v>
      </c>
      <c r="R178" s="6">
        <f t="shared" si="58"/>
        <v>1165.75</v>
      </c>
    </row>
    <row r="179" spans="2:18" x14ac:dyDescent="0.2">
      <c r="B179" s="19" t="s">
        <v>142</v>
      </c>
      <c r="E179" s="96">
        <v>199.25</v>
      </c>
      <c r="F179" s="6">
        <f t="shared" ref="F179:R179" si="59">F148+F149</f>
        <v>181</v>
      </c>
      <c r="G179" s="6">
        <f t="shared" si="59"/>
        <v>198</v>
      </c>
      <c r="H179" s="6">
        <f t="shared" si="59"/>
        <v>201</v>
      </c>
      <c r="I179" s="6">
        <f t="shared" si="59"/>
        <v>193</v>
      </c>
      <c r="J179" s="6">
        <f t="shared" si="59"/>
        <v>0</v>
      </c>
      <c r="K179" s="6">
        <f t="shared" si="59"/>
        <v>0</v>
      </c>
      <c r="L179" s="6">
        <f t="shared" si="59"/>
        <v>0</v>
      </c>
      <c r="M179" s="6">
        <f t="shared" si="59"/>
        <v>0</v>
      </c>
      <c r="N179" s="6">
        <f t="shared" si="59"/>
        <v>0</v>
      </c>
      <c r="O179" s="6">
        <f t="shared" si="59"/>
        <v>0</v>
      </c>
      <c r="P179" s="6">
        <f t="shared" si="59"/>
        <v>0</v>
      </c>
      <c r="Q179" s="6">
        <f t="shared" si="59"/>
        <v>0</v>
      </c>
      <c r="R179" s="6">
        <f t="shared" si="59"/>
        <v>193.25</v>
      </c>
    </row>
    <row r="180" spans="2:18" x14ac:dyDescent="0.2">
      <c r="B180" s="19" t="s">
        <v>173</v>
      </c>
      <c r="E180" s="96">
        <v>0</v>
      </c>
      <c r="F180" s="6">
        <f t="shared" ref="F180:R180" si="60">F150</f>
        <v>0</v>
      </c>
      <c r="G180" s="6">
        <f t="shared" si="60"/>
        <v>0</v>
      </c>
      <c r="H180" s="6">
        <f t="shared" si="60"/>
        <v>0</v>
      </c>
      <c r="I180" s="6">
        <f t="shared" si="60"/>
        <v>0</v>
      </c>
      <c r="J180" s="6">
        <f t="shared" si="60"/>
        <v>0</v>
      </c>
      <c r="K180" s="6">
        <f t="shared" si="60"/>
        <v>0</v>
      </c>
      <c r="L180" s="6">
        <f t="shared" si="60"/>
        <v>0</v>
      </c>
      <c r="M180" s="6">
        <f t="shared" si="60"/>
        <v>0</v>
      </c>
      <c r="N180" s="6">
        <f t="shared" si="60"/>
        <v>0</v>
      </c>
      <c r="O180" s="6">
        <f t="shared" si="60"/>
        <v>0</v>
      </c>
      <c r="P180" s="6">
        <f t="shared" si="60"/>
        <v>0</v>
      </c>
      <c r="Q180" s="6">
        <f t="shared" si="60"/>
        <v>0</v>
      </c>
      <c r="R180" s="6">
        <f t="shared" si="60"/>
        <v>0</v>
      </c>
    </row>
    <row r="181" spans="2:18" x14ac:dyDescent="0.2">
      <c r="B181" s="19"/>
      <c r="E181" s="96"/>
      <c r="F181" s="6"/>
      <c r="G181" s="5"/>
      <c r="H181" s="5"/>
    </row>
    <row r="182" spans="2:18" ht="13.5" thickBot="1" x14ac:dyDescent="0.25">
      <c r="B182" s="116" t="s">
        <v>179</v>
      </c>
      <c r="E182" s="119">
        <v>32361.083333333332</v>
      </c>
      <c r="F182" s="117">
        <f>SUM(F175:F180)</f>
        <v>34509</v>
      </c>
      <c r="G182" s="117">
        <f t="shared" ref="G182:R182" si="61">SUM(G175:G180)</f>
        <v>35132</v>
      </c>
      <c r="H182" s="117">
        <f t="shared" si="61"/>
        <v>35400</v>
      </c>
      <c r="I182" s="117">
        <f t="shared" si="61"/>
        <v>35629</v>
      </c>
      <c r="J182" s="117">
        <f t="shared" si="61"/>
        <v>0</v>
      </c>
      <c r="K182" s="117">
        <f t="shared" si="61"/>
        <v>0</v>
      </c>
      <c r="L182" s="117">
        <f t="shared" si="61"/>
        <v>0</v>
      </c>
      <c r="M182" s="117">
        <f>SUM(M175:M180)</f>
        <v>0</v>
      </c>
      <c r="N182" s="117">
        <f>SUM(N175:N180)</f>
        <v>0</v>
      </c>
      <c r="O182" s="117">
        <f>SUM(O175:O180)</f>
        <v>0</v>
      </c>
      <c r="P182" s="117">
        <f>SUM(P175:P180)</f>
        <v>0</v>
      </c>
      <c r="Q182" s="117">
        <f>SUM(Q175:Q180)</f>
        <v>0</v>
      </c>
      <c r="R182" s="117">
        <f t="shared" si="61"/>
        <v>35167.5</v>
      </c>
    </row>
    <row r="183" spans="2:18" ht="13.5" thickTop="1" x14ac:dyDescent="0.2">
      <c r="B183" s="19"/>
      <c r="F183" s="5"/>
      <c r="G183" s="5"/>
      <c r="H183" s="5"/>
    </row>
    <row r="184" spans="2:18" ht="18" x14ac:dyDescent="0.25">
      <c r="B184" s="118" t="s">
        <v>180</v>
      </c>
      <c r="F184" s="5"/>
      <c r="G184" s="5"/>
      <c r="H184" s="5"/>
      <c r="L184" s="122"/>
    </row>
    <row r="185" spans="2:18" x14ac:dyDescent="0.2">
      <c r="F185" s="5"/>
    </row>
    <row r="186" spans="2:18" x14ac:dyDescent="0.2">
      <c r="B186" s="5" t="s">
        <v>168</v>
      </c>
      <c r="F186" s="5">
        <f t="shared" ref="F186:Q186" si="62">F22+F23+F26+F27+F45+F50+F52+F105+F117+F119+F121+F123-F42-F43</f>
        <v>4129</v>
      </c>
      <c r="G186" s="5">
        <f t="shared" si="62"/>
        <v>4225</v>
      </c>
      <c r="H186" s="5">
        <f t="shared" si="62"/>
        <v>4196</v>
      </c>
      <c r="I186" s="5">
        <f t="shared" si="62"/>
        <v>4224</v>
      </c>
      <c r="J186" s="5">
        <f t="shared" si="62"/>
        <v>0</v>
      </c>
      <c r="K186" s="5">
        <f t="shared" si="62"/>
        <v>0</v>
      </c>
      <c r="L186" s="5">
        <f t="shared" si="62"/>
        <v>0</v>
      </c>
      <c r="M186" s="5">
        <f t="shared" si="62"/>
        <v>0</v>
      </c>
      <c r="N186" s="5">
        <f t="shared" si="62"/>
        <v>0</v>
      </c>
      <c r="O186" s="5">
        <f t="shared" si="62"/>
        <v>0</v>
      </c>
      <c r="P186" s="5">
        <f t="shared" si="62"/>
        <v>0</v>
      </c>
      <c r="Q186" s="5">
        <f t="shared" si="62"/>
        <v>0</v>
      </c>
    </row>
    <row r="187" spans="2:18" x14ac:dyDescent="0.2">
      <c r="B187" s="5" t="s">
        <v>190</v>
      </c>
      <c r="F187" s="5">
        <f t="shared" ref="F187:Q187" si="63">F21+F24+F25+F28+F104+F125+F126+F42+F43</f>
        <v>2511</v>
      </c>
      <c r="G187" s="5">
        <f t="shared" si="63"/>
        <v>2555</v>
      </c>
      <c r="H187" s="5">
        <f t="shared" si="63"/>
        <v>2553</v>
      </c>
      <c r="I187" s="5">
        <f t="shared" si="63"/>
        <v>2606</v>
      </c>
      <c r="J187" s="5">
        <f t="shared" si="63"/>
        <v>0</v>
      </c>
      <c r="K187" s="5">
        <f t="shared" si="63"/>
        <v>0</v>
      </c>
      <c r="L187" s="5">
        <f t="shared" si="63"/>
        <v>0</v>
      </c>
      <c r="M187" s="5">
        <f t="shared" si="63"/>
        <v>0</v>
      </c>
      <c r="N187" s="5">
        <f t="shared" si="63"/>
        <v>0</v>
      </c>
      <c r="O187" s="5">
        <f t="shared" si="63"/>
        <v>0</v>
      </c>
      <c r="P187" s="5">
        <f t="shared" si="63"/>
        <v>0</v>
      </c>
      <c r="Q187" s="5">
        <f t="shared" si="63"/>
        <v>0</v>
      </c>
    </row>
    <row r="188" spans="2:18" x14ac:dyDescent="0.2">
      <c r="B188" s="5" t="s">
        <v>191</v>
      </c>
      <c r="F188" s="5">
        <f t="shared" ref="F188:Q188" si="64">F115+F128</f>
        <v>1089</v>
      </c>
      <c r="G188" s="5">
        <f t="shared" si="64"/>
        <v>1123</v>
      </c>
      <c r="H188" s="5">
        <f t="shared" si="64"/>
        <v>1114</v>
      </c>
      <c r="I188" s="5">
        <f t="shared" si="64"/>
        <v>1145</v>
      </c>
      <c r="J188" s="5">
        <f t="shared" si="64"/>
        <v>0</v>
      </c>
      <c r="K188" s="5">
        <f t="shared" si="64"/>
        <v>0</v>
      </c>
      <c r="L188" s="5">
        <f t="shared" si="64"/>
        <v>0</v>
      </c>
      <c r="M188" s="5">
        <f t="shared" si="64"/>
        <v>0</v>
      </c>
      <c r="N188" s="5">
        <f t="shared" si="64"/>
        <v>0</v>
      </c>
      <c r="O188" s="5">
        <f t="shared" si="64"/>
        <v>0</v>
      </c>
      <c r="P188" s="5">
        <f t="shared" si="64"/>
        <v>0</v>
      </c>
      <c r="Q188" s="5">
        <f t="shared" si="64"/>
        <v>0</v>
      </c>
    </row>
    <row r="189" spans="2:18" x14ac:dyDescent="0.2">
      <c r="B189" s="5" t="s">
        <v>165</v>
      </c>
      <c r="F189" s="5">
        <f t="shared" ref="F189:Q189" si="65">F5+F8+F11+F12+F70+F130+F145</f>
        <v>7357</v>
      </c>
      <c r="G189" s="5">
        <f t="shared" si="65"/>
        <v>7479</v>
      </c>
      <c r="H189" s="5">
        <f t="shared" si="65"/>
        <v>7621</v>
      </c>
      <c r="I189" s="5">
        <f t="shared" si="65"/>
        <v>7728</v>
      </c>
      <c r="J189" s="5">
        <f t="shared" si="65"/>
        <v>0</v>
      </c>
      <c r="K189" s="5">
        <f t="shared" si="65"/>
        <v>0</v>
      </c>
      <c r="L189" s="5">
        <f t="shared" si="65"/>
        <v>0</v>
      </c>
      <c r="M189" s="5">
        <f t="shared" si="65"/>
        <v>0</v>
      </c>
      <c r="N189" s="5">
        <f t="shared" si="65"/>
        <v>0</v>
      </c>
      <c r="O189" s="5">
        <f t="shared" si="65"/>
        <v>0</v>
      </c>
      <c r="P189" s="5">
        <f t="shared" si="65"/>
        <v>0</v>
      </c>
      <c r="Q189" s="5">
        <f t="shared" si="65"/>
        <v>0</v>
      </c>
    </row>
    <row r="190" spans="2:18" x14ac:dyDescent="0.2">
      <c r="B190" s="5" t="s">
        <v>177</v>
      </c>
      <c r="F190" s="5">
        <f t="shared" ref="F190:Q190" si="66">F6+F7+F9+F10+F13+F14+F15+F16+F31+F72+F73+F76+F132+F139</f>
        <v>6603</v>
      </c>
      <c r="G190" s="5">
        <f t="shared" si="66"/>
        <v>6689</v>
      </c>
      <c r="H190" s="5">
        <f t="shared" si="66"/>
        <v>6770</v>
      </c>
      <c r="I190" s="5">
        <f t="shared" si="66"/>
        <v>6780</v>
      </c>
      <c r="J190" s="5">
        <f t="shared" si="66"/>
        <v>0</v>
      </c>
      <c r="K190" s="5">
        <f t="shared" si="66"/>
        <v>0</v>
      </c>
      <c r="L190" s="5">
        <f t="shared" si="66"/>
        <v>0</v>
      </c>
      <c r="M190" s="5">
        <f t="shared" si="66"/>
        <v>0</v>
      </c>
      <c r="N190" s="5">
        <f t="shared" si="66"/>
        <v>0</v>
      </c>
      <c r="O190" s="5">
        <f t="shared" si="66"/>
        <v>0</v>
      </c>
      <c r="P190" s="5">
        <f t="shared" si="66"/>
        <v>0</v>
      </c>
      <c r="Q190" s="5">
        <f t="shared" si="66"/>
        <v>0</v>
      </c>
    </row>
    <row r="191" spans="2:18" x14ac:dyDescent="0.2">
      <c r="B191" s="5" t="s">
        <v>193</v>
      </c>
      <c r="F191" s="5">
        <f t="shared" ref="F191:Q191" si="67">F81+F87+F98+F102</f>
        <v>28</v>
      </c>
      <c r="G191" s="5">
        <f t="shared" si="67"/>
        <v>31</v>
      </c>
      <c r="H191" s="5">
        <f t="shared" si="67"/>
        <v>34</v>
      </c>
      <c r="I191" s="5">
        <f t="shared" si="67"/>
        <v>29</v>
      </c>
      <c r="J191" s="5">
        <f t="shared" si="67"/>
        <v>0</v>
      </c>
      <c r="K191" s="5">
        <f t="shared" si="67"/>
        <v>0</v>
      </c>
      <c r="L191" s="5">
        <f t="shared" si="67"/>
        <v>0</v>
      </c>
      <c r="M191" s="5">
        <f t="shared" si="67"/>
        <v>0</v>
      </c>
      <c r="N191" s="5">
        <f t="shared" si="67"/>
        <v>0</v>
      </c>
      <c r="O191" s="5">
        <f t="shared" si="67"/>
        <v>0</v>
      </c>
      <c r="P191" s="5">
        <f t="shared" si="67"/>
        <v>0</v>
      </c>
      <c r="Q191" s="5">
        <f t="shared" si="67"/>
        <v>0</v>
      </c>
    </row>
    <row r="192" spans="2:18" x14ac:dyDescent="0.2">
      <c r="B192" s="5" t="s">
        <v>192</v>
      </c>
      <c r="F192" s="5">
        <f t="shared" ref="F192:Q192" si="68">F54+F59+F66+F68+F135+F19</f>
        <v>290</v>
      </c>
      <c r="G192" s="5">
        <f t="shared" si="68"/>
        <v>286</v>
      </c>
      <c r="H192" s="5">
        <f t="shared" si="68"/>
        <v>285</v>
      </c>
      <c r="I192" s="5">
        <f t="shared" si="68"/>
        <v>290</v>
      </c>
      <c r="J192" s="5">
        <f t="shared" si="68"/>
        <v>0</v>
      </c>
      <c r="K192" s="5">
        <f t="shared" si="68"/>
        <v>0</v>
      </c>
      <c r="L192" s="5">
        <f t="shared" si="68"/>
        <v>0</v>
      </c>
      <c r="M192" s="5">
        <f t="shared" si="68"/>
        <v>0</v>
      </c>
      <c r="N192" s="5">
        <f t="shared" si="68"/>
        <v>0</v>
      </c>
      <c r="O192" s="5">
        <f t="shared" si="68"/>
        <v>0</v>
      </c>
      <c r="P192" s="5">
        <f t="shared" si="68"/>
        <v>0</v>
      </c>
      <c r="Q192" s="5">
        <f t="shared" si="68"/>
        <v>0</v>
      </c>
    </row>
    <row r="193" spans="2:17" x14ac:dyDescent="0.2">
      <c r="B193" s="120" t="s">
        <v>178</v>
      </c>
      <c r="F193" s="121">
        <f t="shared" ref="F193:K193" si="69">SUM(F186:F192)</f>
        <v>22007</v>
      </c>
      <c r="G193" s="121">
        <f t="shared" si="69"/>
        <v>22388</v>
      </c>
      <c r="H193" s="121">
        <f t="shared" si="69"/>
        <v>22573</v>
      </c>
      <c r="I193" s="121">
        <f t="shared" si="69"/>
        <v>22802</v>
      </c>
      <c r="J193" s="121">
        <f t="shared" si="69"/>
        <v>0</v>
      </c>
      <c r="K193" s="121">
        <f t="shared" si="69"/>
        <v>0</v>
      </c>
      <c r="L193" s="121">
        <f t="shared" ref="L193:Q193" si="70">SUM(L186:L192)</f>
        <v>0</v>
      </c>
      <c r="M193" s="121">
        <f t="shared" si="70"/>
        <v>0</v>
      </c>
      <c r="N193" s="121">
        <f t="shared" si="70"/>
        <v>0</v>
      </c>
      <c r="O193" s="121">
        <f t="shared" si="70"/>
        <v>0</v>
      </c>
      <c r="P193" s="121">
        <f t="shared" si="70"/>
        <v>0</v>
      </c>
      <c r="Q193" s="121">
        <f t="shared" si="70"/>
        <v>0</v>
      </c>
    </row>
    <row r="195" spans="2:17" x14ac:dyDescent="0.2">
      <c r="F195" s="5">
        <f>F193+'IHWP Summary'!B14</f>
        <v>23575</v>
      </c>
      <c r="G195" s="5">
        <f>G193+'IHWP Summary'!C14</f>
        <v>24015</v>
      </c>
      <c r="H195" s="5">
        <f>H193+'IHWP Summary'!D14</f>
        <v>24283</v>
      </c>
      <c r="I195" s="5">
        <f>I193+'IHWP Summary'!E14</f>
        <v>24590</v>
      </c>
      <c r="J195" s="5">
        <f>J193+'IHWP Summary'!F14</f>
        <v>0</v>
      </c>
      <c r="K195" s="5">
        <f>K193+'IHWP Summary'!G14</f>
        <v>0</v>
      </c>
      <c r="L195" s="5">
        <f>L193+'IHWP Summary'!H14</f>
        <v>0</v>
      </c>
      <c r="M195" s="5">
        <f>M193+'IHWP Summary'!I14</f>
        <v>0</v>
      </c>
      <c r="N195" s="5">
        <f>N193+'IHWP Summary'!J14</f>
        <v>0</v>
      </c>
      <c r="O195" s="5">
        <f>O193+'IHWP Summary'!K14</f>
        <v>0</v>
      </c>
      <c r="P195" s="5">
        <f>P193+'IHWP Summary'!L14</f>
        <v>0</v>
      </c>
      <c r="Q195" s="5">
        <f>Q193+'IHWP Summary'!M14</f>
        <v>0</v>
      </c>
    </row>
    <row r="197" spans="2:17" x14ac:dyDescent="0.2">
      <c r="B197" s="1" t="s">
        <v>257</v>
      </c>
      <c r="F197" s="5">
        <f>F175-F192</f>
        <v>21717</v>
      </c>
      <c r="G197" s="5">
        <f t="shared" ref="G197:Q197" si="71">G175-G192</f>
        <v>22102</v>
      </c>
      <c r="H197" s="5">
        <f t="shared" si="71"/>
        <v>22288</v>
      </c>
      <c r="I197" s="5">
        <f t="shared" si="71"/>
        <v>22512</v>
      </c>
      <c r="J197" s="5">
        <f t="shared" si="71"/>
        <v>0</v>
      </c>
      <c r="K197" s="5">
        <f t="shared" si="71"/>
        <v>0</v>
      </c>
      <c r="L197" s="5">
        <f t="shared" si="71"/>
        <v>0</v>
      </c>
      <c r="M197" s="5">
        <f t="shared" si="71"/>
        <v>0</v>
      </c>
      <c r="N197" s="5">
        <f t="shared" si="71"/>
        <v>0</v>
      </c>
      <c r="O197" s="5">
        <f t="shared" si="71"/>
        <v>0</v>
      </c>
      <c r="P197" s="5">
        <f t="shared" si="71"/>
        <v>0</v>
      </c>
      <c r="Q197" s="5">
        <f t="shared" si="71"/>
        <v>0</v>
      </c>
    </row>
  </sheetData>
  <sheetProtection algorithmName="SHA-512" hashValue="/iLJV7vEPMIcng737VSsyeyndlB5wqsHxuA0OLV1jy7/ncR42Z45DUoK/kTjmjSDz48oxj2Jqqzvb4PoF8OAlQ==" saltValue="Zww/Qt0itwirt9yXvGEcGw==" spinCount="100000" sheet="1" objects="1" scenarios="1"/>
  <phoneticPr fontId="0" type="noConversion"/>
  <printOptions horizontalCentered="1"/>
  <pageMargins left="0" right="0" top="0" bottom="0" header="0" footer="0"/>
  <pageSetup scale="57" fitToHeight="2" orientation="landscape" r:id="rId1"/>
  <headerFooter alignWithMargins="0"/>
  <rowBreaks count="1" manualBreakCount="1">
    <brk id="59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BR171"/>
  <sheetViews>
    <sheetView showGridLines="0" zoomScaleNormal="100" workbookViewId="0">
      <pane xSplit="3" ySplit="2" topLeftCell="D78" activePane="bottomRight" state="frozen"/>
      <selection pane="topRight" activeCell="D1" sqref="D1"/>
      <selection pane="bottomLeft" activeCell="A3" sqref="A3"/>
      <selection pane="bottomRight" activeCell="G107" sqref="G107"/>
    </sheetView>
  </sheetViews>
  <sheetFormatPr defaultColWidth="9.77734375" defaultRowHeight="12.75" x14ac:dyDescent="0.2"/>
  <cols>
    <col min="1" max="1" width="2.5546875" style="4" customWidth="1"/>
    <col min="2" max="2" width="33.5546875" style="1" customWidth="1"/>
    <col min="3" max="3" width="3.44140625" style="4" customWidth="1"/>
    <col min="4" max="16" width="10.109375" style="1" customWidth="1"/>
    <col min="17" max="16384" width="9.77734375" style="1"/>
  </cols>
  <sheetData>
    <row r="1" spans="1:70" x14ac:dyDescent="0.2">
      <c r="D1" s="23" t="s">
        <v>262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15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</row>
    <row r="2" spans="1:70" x14ac:dyDescent="0.2">
      <c r="D2" s="14" t="s">
        <v>1</v>
      </c>
      <c r="E2" s="14" t="s">
        <v>2</v>
      </c>
      <c r="F2" s="14" t="s">
        <v>3</v>
      </c>
      <c r="G2" s="14" t="s">
        <v>4</v>
      </c>
      <c r="H2" s="14" t="s">
        <v>5</v>
      </c>
      <c r="I2" s="14" t="s">
        <v>6</v>
      </c>
      <c r="J2" s="14" t="s">
        <v>7</v>
      </c>
      <c r="K2" s="14" t="s">
        <v>8</v>
      </c>
      <c r="L2" s="14" t="s">
        <v>9</v>
      </c>
      <c r="M2" s="14" t="s">
        <v>10</v>
      </c>
      <c r="N2" s="14" t="s">
        <v>11</v>
      </c>
      <c r="O2" s="14" t="s">
        <v>12</v>
      </c>
    </row>
    <row r="3" spans="1:70" x14ac:dyDescent="0.2">
      <c r="B3" s="149" t="s">
        <v>40</v>
      </c>
      <c r="C3" s="4" t="s">
        <v>36</v>
      </c>
      <c r="D3" s="61">
        <v>0</v>
      </c>
      <c r="E3" s="158">
        <v>0</v>
      </c>
      <c r="F3" s="61">
        <v>0</v>
      </c>
      <c r="G3" s="61">
        <v>0</v>
      </c>
      <c r="H3" s="61"/>
      <c r="I3" s="61"/>
      <c r="J3" s="61"/>
      <c r="K3" s="61"/>
      <c r="L3" s="61"/>
      <c r="M3" s="61"/>
      <c r="N3" s="61"/>
      <c r="O3" s="61"/>
      <c r="P3" s="61"/>
    </row>
    <row r="4" spans="1:70" x14ac:dyDescent="0.2">
      <c r="B4" s="149" t="s">
        <v>209</v>
      </c>
      <c r="D4" s="61">
        <v>1091</v>
      </c>
      <c r="E4" s="158">
        <v>1152</v>
      </c>
      <c r="F4" s="61">
        <v>1190</v>
      </c>
      <c r="G4" s="61">
        <v>1183</v>
      </c>
      <c r="H4" s="61"/>
      <c r="I4" s="61"/>
      <c r="J4" s="61"/>
      <c r="K4" s="61"/>
      <c r="L4" s="61"/>
      <c r="M4" s="61"/>
      <c r="N4" s="61"/>
      <c r="O4" s="61"/>
      <c r="P4" s="61"/>
    </row>
    <row r="5" spans="1:70" x14ac:dyDescent="0.2">
      <c r="B5" s="149" t="s">
        <v>210</v>
      </c>
      <c r="D5" s="61">
        <v>9630</v>
      </c>
      <c r="E5" s="158">
        <v>9777</v>
      </c>
      <c r="F5" s="61">
        <v>9858</v>
      </c>
      <c r="G5" s="61">
        <v>10004</v>
      </c>
      <c r="H5" s="61"/>
      <c r="I5" s="61"/>
      <c r="J5" s="61"/>
      <c r="K5" s="61"/>
      <c r="L5" s="61"/>
      <c r="M5" s="61"/>
      <c r="N5" s="61"/>
      <c r="O5" s="61"/>
      <c r="P5" s="61"/>
    </row>
    <row r="6" spans="1:70" x14ac:dyDescent="0.2">
      <c r="B6" s="149" t="s">
        <v>211</v>
      </c>
      <c r="D6" s="61">
        <v>375</v>
      </c>
      <c r="E6" s="158">
        <v>410</v>
      </c>
      <c r="F6" s="61">
        <v>431</v>
      </c>
      <c r="G6" s="61">
        <v>363</v>
      </c>
      <c r="H6" s="61"/>
      <c r="I6" s="61"/>
      <c r="J6" s="61"/>
      <c r="K6" s="61"/>
      <c r="L6" s="61"/>
      <c r="M6" s="61"/>
      <c r="N6" s="61"/>
      <c r="O6" s="61"/>
      <c r="P6" s="61"/>
    </row>
    <row r="7" spans="1:70" x14ac:dyDescent="0.2">
      <c r="B7" s="149" t="s">
        <v>212</v>
      </c>
      <c r="D7" s="61">
        <v>64</v>
      </c>
      <c r="E7" s="158">
        <v>60</v>
      </c>
      <c r="F7" s="61">
        <v>58</v>
      </c>
      <c r="G7" s="61">
        <v>47</v>
      </c>
      <c r="H7" s="61"/>
      <c r="I7" s="61"/>
      <c r="J7" s="61"/>
      <c r="K7" s="61"/>
      <c r="L7" s="61"/>
      <c r="M7" s="61"/>
      <c r="N7" s="61"/>
      <c r="O7" s="61"/>
      <c r="P7" s="61"/>
    </row>
    <row r="8" spans="1:70" x14ac:dyDescent="0.2">
      <c r="A8" s="27" t="s">
        <v>41</v>
      </c>
      <c r="B8" s="57" t="s">
        <v>42</v>
      </c>
      <c r="C8" s="4" t="s">
        <v>13</v>
      </c>
      <c r="D8" s="61">
        <v>70</v>
      </c>
      <c r="E8" s="158">
        <v>82</v>
      </c>
      <c r="F8" s="61">
        <v>80</v>
      </c>
      <c r="G8" s="61">
        <v>93</v>
      </c>
      <c r="H8" s="61"/>
      <c r="I8" s="61"/>
      <c r="J8" s="61"/>
      <c r="K8" s="61"/>
      <c r="L8" s="61"/>
      <c r="M8" s="61"/>
      <c r="N8" s="61"/>
      <c r="O8" s="61"/>
    </row>
    <row r="9" spans="1:70" x14ac:dyDescent="0.2">
      <c r="A9" s="27" t="s">
        <v>41</v>
      </c>
      <c r="B9" s="57" t="s">
        <v>43</v>
      </c>
      <c r="C9" s="4" t="s">
        <v>13</v>
      </c>
      <c r="D9" s="61">
        <v>0</v>
      </c>
      <c r="E9" s="158">
        <v>0</v>
      </c>
      <c r="F9" s="61">
        <v>0</v>
      </c>
      <c r="G9" s="61">
        <v>0</v>
      </c>
      <c r="H9" s="61"/>
      <c r="I9" s="61"/>
      <c r="J9" s="61"/>
      <c r="K9" s="61"/>
      <c r="L9" s="61"/>
      <c r="M9" s="61"/>
      <c r="N9" s="61"/>
      <c r="O9" s="61"/>
    </row>
    <row r="10" spans="1:70" x14ac:dyDescent="0.2">
      <c r="A10" s="27" t="s">
        <v>41</v>
      </c>
      <c r="B10" s="57" t="s">
        <v>44</v>
      </c>
      <c r="C10" s="4" t="s">
        <v>13</v>
      </c>
      <c r="D10" s="61">
        <v>802</v>
      </c>
      <c r="E10" s="158">
        <v>841</v>
      </c>
      <c r="F10" s="61">
        <v>867</v>
      </c>
      <c r="G10" s="61">
        <v>863</v>
      </c>
      <c r="H10" s="61"/>
      <c r="I10" s="61"/>
      <c r="J10" s="61"/>
      <c r="K10" s="61"/>
      <c r="L10" s="61"/>
      <c r="M10" s="61"/>
      <c r="N10" s="61"/>
      <c r="O10" s="61"/>
    </row>
    <row r="11" spans="1:70" x14ac:dyDescent="0.2">
      <c r="A11" s="27" t="s">
        <v>41</v>
      </c>
      <c r="B11" s="57" t="s">
        <v>45</v>
      </c>
      <c r="C11" s="4" t="s">
        <v>14</v>
      </c>
      <c r="D11" s="61">
        <v>0</v>
      </c>
      <c r="E11" s="158">
        <v>0</v>
      </c>
      <c r="F11" s="61">
        <v>0</v>
      </c>
      <c r="G11" s="61">
        <v>0</v>
      </c>
      <c r="H11" s="61"/>
      <c r="I11" s="61"/>
      <c r="J11" s="61"/>
      <c r="K11" s="61"/>
      <c r="L11" s="61"/>
      <c r="M11" s="61"/>
      <c r="N11" s="61"/>
      <c r="O11" s="61"/>
    </row>
    <row r="12" spans="1:70" x14ac:dyDescent="0.2">
      <c r="A12" s="27" t="s">
        <v>41</v>
      </c>
      <c r="B12" s="57" t="s">
        <v>46</v>
      </c>
      <c r="C12" s="4" t="s">
        <v>14</v>
      </c>
      <c r="D12" s="61">
        <v>0</v>
      </c>
      <c r="E12" s="158">
        <v>0</v>
      </c>
      <c r="F12" s="61">
        <v>0</v>
      </c>
      <c r="G12" s="61">
        <v>0</v>
      </c>
      <c r="H12" s="61"/>
      <c r="I12" s="61"/>
      <c r="J12" s="61"/>
      <c r="K12" s="61"/>
      <c r="L12" s="61"/>
      <c r="M12" s="61"/>
      <c r="N12" s="61"/>
      <c r="O12" s="61"/>
    </row>
    <row r="13" spans="1:70" x14ac:dyDescent="0.2">
      <c r="A13" s="27" t="s">
        <v>41</v>
      </c>
      <c r="B13" s="57" t="s">
        <v>47</v>
      </c>
      <c r="C13" s="4" t="s">
        <v>30</v>
      </c>
      <c r="D13" s="61">
        <v>0</v>
      </c>
      <c r="E13" s="158">
        <v>0</v>
      </c>
      <c r="F13" s="61">
        <v>0</v>
      </c>
      <c r="G13" s="61">
        <v>0</v>
      </c>
      <c r="H13" s="61"/>
      <c r="I13" s="61"/>
      <c r="J13" s="61"/>
      <c r="K13" s="61"/>
      <c r="L13" s="61"/>
      <c r="M13" s="61"/>
      <c r="N13" s="61"/>
      <c r="O13" s="61"/>
    </row>
    <row r="14" spans="1:70" x14ac:dyDescent="0.2">
      <c r="A14" s="27" t="s">
        <v>41</v>
      </c>
      <c r="B14" s="57" t="s">
        <v>48</v>
      </c>
      <c r="C14" s="4" t="s">
        <v>30</v>
      </c>
      <c r="D14" s="61">
        <v>0</v>
      </c>
      <c r="E14" s="158">
        <v>0</v>
      </c>
      <c r="F14" s="61">
        <v>0</v>
      </c>
      <c r="G14" s="61">
        <v>0</v>
      </c>
      <c r="H14" s="61"/>
      <c r="I14" s="61"/>
      <c r="J14" s="61"/>
      <c r="K14" s="61"/>
      <c r="L14" s="61"/>
      <c r="M14" s="61"/>
      <c r="N14" s="61"/>
      <c r="O14" s="61"/>
    </row>
    <row r="15" spans="1:70" x14ac:dyDescent="0.2">
      <c r="A15" s="27" t="s">
        <v>41</v>
      </c>
      <c r="B15" s="57" t="s">
        <v>49</v>
      </c>
      <c r="C15" s="4" t="s">
        <v>15</v>
      </c>
      <c r="D15" s="61">
        <v>0</v>
      </c>
      <c r="E15" s="158">
        <v>0</v>
      </c>
      <c r="F15" s="61">
        <v>0</v>
      </c>
      <c r="G15" s="61">
        <v>0</v>
      </c>
      <c r="H15" s="61"/>
      <c r="I15" s="61"/>
      <c r="J15" s="61"/>
      <c r="K15" s="61"/>
      <c r="L15" s="61"/>
      <c r="M15" s="61"/>
      <c r="N15" s="61"/>
      <c r="O15" s="61"/>
    </row>
    <row r="16" spans="1:70" x14ac:dyDescent="0.2">
      <c r="A16" s="27" t="s">
        <v>41</v>
      </c>
      <c r="B16" s="57" t="s">
        <v>50</v>
      </c>
      <c r="C16" s="4" t="s">
        <v>16</v>
      </c>
      <c r="D16" s="61">
        <v>0</v>
      </c>
      <c r="E16" s="158">
        <v>0</v>
      </c>
      <c r="F16" s="61">
        <v>0</v>
      </c>
      <c r="G16" s="61">
        <v>0</v>
      </c>
      <c r="H16" s="61"/>
      <c r="I16" s="61"/>
      <c r="J16" s="61"/>
      <c r="K16" s="61"/>
      <c r="L16" s="61"/>
      <c r="M16" s="61"/>
      <c r="N16" s="61"/>
      <c r="O16" s="61"/>
    </row>
    <row r="17" spans="1:15" x14ac:dyDescent="0.2">
      <c r="A17" s="27" t="s">
        <v>41</v>
      </c>
      <c r="B17" s="57" t="s">
        <v>221</v>
      </c>
      <c r="C17" s="4" t="s">
        <v>16</v>
      </c>
      <c r="D17" s="61">
        <v>34</v>
      </c>
      <c r="E17" s="158">
        <v>29</v>
      </c>
      <c r="F17" s="61">
        <v>27</v>
      </c>
      <c r="G17" s="61">
        <v>30</v>
      </c>
      <c r="H17" s="61"/>
      <c r="I17" s="61"/>
      <c r="J17" s="61"/>
      <c r="K17" s="61"/>
      <c r="L17" s="61"/>
      <c r="M17" s="61"/>
      <c r="N17" s="61"/>
      <c r="O17" s="61"/>
    </row>
    <row r="18" spans="1:15" x14ac:dyDescent="0.2">
      <c r="A18" s="27" t="s">
        <v>41</v>
      </c>
      <c r="B18" s="57" t="s">
        <v>52</v>
      </c>
      <c r="C18" s="4" t="s">
        <v>16</v>
      </c>
      <c r="D18" s="61">
        <v>5</v>
      </c>
      <c r="E18" s="158">
        <v>5</v>
      </c>
      <c r="F18" s="61">
        <v>3</v>
      </c>
      <c r="G18" s="61">
        <v>3</v>
      </c>
      <c r="H18" s="61"/>
      <c r="I18" s="61"/>
      <c r="J18" s="61"/>
      <c r="K18" s="61"/>
      <c r="L18" s="61"/>
      <c r="M18" s="61"/>
      <c r="N18" s="61"/>
      <c r="O18" s="61"/>
    </row>
    <row r="19" spans="1:15" x14ac:dyDescent="0.2">
      <c r="A19" s="27" t="s">
        <v>41</v>
      </c>
      <c r="B19" s="57" t="s">
        <v>53</v>
      </c>
      <c r="C19" s="4" t="s">
        <v>16</v>
      </c>
      <c r="D19" s="61">
        <v>0</v>
      </c>
      <c r="E19" s="158">
        <v>0</v>
      </c>
      <c r="F19" s="61">
        <v>0</v>
      </c>
      <c r="G19" s="61">
        <v>0</v>
      </c>
      <c r="H19" s="61"/>
      <c r="I19" s="61"/>
      <c r="J19" s="61"/>
      <c r="K19" s="61"/>
      <c r="L19" s="61"/>
      <c r="M19" s="61"/>
      <c r="N19" s="61"/>
      <c r="O19" s="61"/>
    </row>
    <row r="20" spans="1:15" x14ac:dyDescent="0.2">
      <c r="A20" s="27" t="s">
        <v>41</v>
      </c>
      <c r="B20" s="57" t="s">
        <v>220</v>
      </c>
      <c r="C20" s="4" t="s">
        <v>16</v>
      </c>
      <c r="D20" s="61">
        <v>0</v>
      </c>
      <c r="E20" s="158">
        <v>0</v>
      </c>
      <c r="F20" s="61">
        <v>0</v>
      </c>
      <c r="G20" s="61">
        <v>0</v>
      </c>
      <c r="H20" s="61"/>
      <c r="I20" s="61"/>
      <c r="J20" s="61"/>
      <c r="K20" s="61"/>
      <c r="L20" s="61"/>
      <c r="M20" s="61"/>
      <c r="N20" s="61"/>
      <c r="O20" s="61"/>
    </row>
    <row r="21" spans="1:15" x14ac:dyDescent="0.2">
      <c r="A21" s="27" t="s">
        <v>41</v>
      </c>
      <c r="B21" s="57" t="s">
        <v>223</v>
      </c>
      <c r="C21" s="4" t="s">
        <v>17</v>
      </c>
      <c r="D21" s="61">
        <v>241</v>
      </c>
      <c r="E21" s="158">
        <v>238</v>
      </c>
      <c r="F21" s="61">
        <v>233</v>
      </c>
      <c r="G21" s="61">
        <v>235</v>
      </c>
      <c r="H21" s="61"/>
      <c r="I21" s="61"/>
      <c r="J21" s="61"/>
      <c r="K21" s="61"/>
      <c r="L21" s="61"/>
      <c r="M21" s="61"/>
      <c r="N21" s="61"/>
      <c r="O21" s="61"/>
    </row>
    <row r="22" spans="1:15" x14ac:dyDescent="0.2">
      <c r="A22" s="27" t="s">
        <v>41</v>
      </c>
      <c r="B22" s="57" t="s">
        <v>222</v>
      </c>
      <c r="C22" s="4" t="s">
        <v>17</v>
      </c>
      <c r="D22" s="61">
        <v>2</v>
      </c>
      <c r="E22" s="158">
        <v>2</v>
      </c>
      <c r="F22" s="61">
        <v>2</v>
      </c>
      <c r="G22" s="61">
        <v>1</v>
      </c>
      <c r="H22" s="61"/>
      <c r="I22" s="61"/>
      <c r="J22" s="61"/>
      <c r="K22" s="61"/>
      <c r="L22" s="61"/>
      <c r="M22" s="61"/>
      <c r="N22" s="61"/>
      <c r="O22" s="61"/>
    </row>
    <row r="23" spans="1:15" x14ac:dyDescent="0.2">
      <c r="A23" s="27" t="s">
        <v>41</v>
      </c>
      <c r="B23" s="57" t="s">
        <v>224</v>
      </c>
      <c r="C23" s="4" t="s">
        <v>16</v>
      </c>
      <c r="D23" s="61">
        <v>0</v>
      </c>
      <c r="E23" s="158">
        <v>0</v>
      </c>
      <c r="F23" s="61">
        <v>0</v>
      </c>
      <c r="G23" s="61">
        <v>0</v>
      </c>
      <c r="H23" s="61"/>
      <c r="I23" s="61"/>
      <c r="J23" s="61"/>
      <c r="K23" s="61"/>
      <c r="L23" s="61"/>
      <c r="M23" s="61"/>
      <c r="N23" s="61"/>
      <c r="O23" s="61"/>
    </row>
    <row r="24" spans="1:15" x14ac:dyDescent="0.2">
      <c r="A24" s="27" t="s">
        <v>41</v>
      </c>
      <c r="B24" s="57" t="s">
        <v>58</v>
      </c>
      <c r="C24" s="4" t="s">
        <v>13</v>
      </c>
      <c r="D24" s="61">
        <v>4</v>
      </c>
      <c r="E24" s="158">
        <v>5</v>
      </c>
      <c r="F24" s="61">
        <v>5</v>
      </c>
      <c r="G24" s="61">
        <v>8</v>
      </c>
      <c r="H24" s="61"/>
      <c r="I24" s="61"/>
      <c r="J24" s="61"/>
      <c r="K24" s="61"/>
      <c r="L24" s="61"/>
      <c r="M24" s="61"/>
      <c r="N24" s="61"/>
      <c r="O24" s="61"/>
    </row>
    <row r="25" spans="1:15" x14ac:dyDescent="0.2">
      <c r="A25" s="27" t="s">
        <v>41</v>
      </c>
      <c r="B25" s="57" t="s">
        <v>59</v>
      </c>
      <c r="C25" s="4" t="s">
        <v>13</v>
      </c>
      <c r="D25" s="61">
        <v>0</v>
      </c>
      <c r="E25" s="158">
        <v>0</v>
      </c>
      <c r="F25" s="61">
        <v>0</v>
      </c>
      <c r="G25" s="61">
        <v>0</v>
      </c>
      <c r="H25" s="61"/>
      <c r="I25" s="61"/>
      <c r="J25" s="61"/>
      <c r="K25" s="61"/>
      <c r="L25" s="61"/>
      <c r="M25" s="61"/>
      <c r="N25" s="61"/>
      <c r="O25" s="61"/>
    </row>
    <row r="26" spans="1:15" x14ac:dyDescent="0.2">
      <c r="A26" s="27" t="s">
        <v>41</v>
      </c>
      <c r="B26" s="57" t="s">
        <v>60</v>
      </c>
      <c r="C26" s="4" t="s">
        <v>13</v>
      </c>
      <c r="D26" s="61">
        <v>18</v>
      </c>
      <c r="E26" s="158">
        <v>20</v>
      </c>
      <c r="F26" s="61">
        <v>19</v>
      </c>
      <c r="G26" s="61">
        <v>17</v>
      </c>
      <c r="H26" s="61"/>
      <c r="I26" s="61"/>
      <c r="J26" s="61"/>
      <c r="K26" s="61"/>
      <c r="L26" s="61"/>
      <c r="M26" s="61"/>
      <c r="N26" s="61"/>
      <c r="O26" s="61"/>
    </row>
    <row r="27" spans="1:15" x14ac:dyDescent="0.2">
      <c r="B27" s="57" t="s">
        <v>76</v>
      </c>
      <c r="C27" s="4" t="s">
        <v>14</v>
      </c>
      <c r="D27" s="61">
        <v>0</v>
      </c>
      <c r="E27" s="158">
        <v>0</v>
      </c>
      <c r="F27" s="61">
        <v>0</v>
      </c>
      <c r="G27" s="61">
        <v>0</v>
      </c>
      <c r="H27" s="61"/>
      <c r="I27" s="61"/>
      <c r="J27" s="61"/>
      <c r="K27" s="61"/>
      <c r="L27" s="61"/>
      <c r="M27" s="61"/>
      <c r="N27" s="61"/>
      <c r="O27" s="61"/>
    </row>
    <row r="28" spans="1:15" x14ac:dyDescent="0.2">
      <c r="A28" s="27" t="s">
        <v>41</v>
      </c>
      <c r="B28" s="57" t="s">
        <v>61</v>
      </c>
      <c r="C28" s="4" t="s">
        <v>17</v>
      </c>
      <c r="D28" s="61">
        <v>0</v>
      </c>
      <c r="E28" s="158">
        <v>0</v>
      </c>
      <c r="F28" s="61">
        <v>0</v>
      </c>
      <c r="G28" s="61">
        <v>0</v>
      </c>
      <c r="H28" s="61"/>
      <c r="I28" s="61"/>
      <c r="J28" s="61"/>
      <c r="K28" s="61"/>
      <c r="L28" s="61"/>
      <c r="M28" s="61"/>
      <c r="N28" s="61"/>
      <c r="O28" s="61"/>
    </row>
    <row r="29" spans="1:15" x14ac:dyDescent="0.2">
      <c r="B29" s="57" t="s">
        <v>62</v>
      </c>
      <c r="C29" s="4" t="s">
        <v>13</v>
      </c>
      <c r="D29" s="61">
        <f>13</f>
        <v>13</v>
      </c>
      <c r="E29" s="158">
        <f>14</f>
        <v>14</v>
      </c>
      <c r="F29" s="61">
        <f>13</f>
        <v>13</v>
      </c>
      <c r="G29" s="61">
        <v>17</v>
      </c>
      <c r="H29" s="61"/>
      <c r="I29" s="61"/>
      <c r="J29" s="61"/>
      <c r="K29" s="61"/>
      <c r="L29" s="61"/>
      <c r="M29" s="61"/>
      <c r="N29" s="61"/>
      <c r="O29" s="61"/>
    </row>
    <row r="30" spans="1:15" x14ac:dyDescent="0.2">
      <c r="B30" s="58" t="s">
        <v>63</v>
      </c>
      <c r="C30" s="4" t="s">
        <v>24</v>
      </c>
      <c r="D30" s="61">
        <v>792</v>
      </c>
      <c r="E30" s="158">
        <f>352+453</f>
        <v>805</v>
      </c>
      <c r="F30" s="61">
        <f>351+480</f>
        <v>831</v>
      </c>
      <c r="G30" s="61">
        <v>842</v>
      </c>
      <c r="H30" s="61"/>
      <c r="I30" s="61"/>
      <c r="J30" s="61"/>
      <c r="K30" s="61"/>
      <c r="L30" s="61"/>
      <c r="M30" s="61"/>
      <c r="N30" s="61"/>
      <c r="O30" s="61"/>
    </row>
    <row r="31" spans="1:15" x14ac:dyDescent="0.2">
      <c r="B31" s="58" t="s">
        <v>64</v>
      </c>
      <c r="C31" s="4" t="s">
        <v>24</v>
      </c>
      <c r="D31" s="61">
        <v>0</v>
      </c>
      <c r="E31" s="158">
        <v>0</v>
      </c>
      <c r="F31" s="61">
        <v>0</v>
      </c>
      <c r="G31" s="61">
        <v>0</v>
      </c>
      <c r="H31" s="61"/>
      <c r="I31" s="61"/>
      <c r="J31" s="61"/>
      <c r="K31" s="61"/>
      <c r="L31" s="61"/>
      <c r="M31" s="61"/>
      <c r="N31" s="61"/>
      <c r="O31" s="61"/>
    </row>
    <row r="32" spans="1:15" x14ac:dyDescent="0.2">
      <c r="B32" s="58" t="s">
        <v>65</v>
      </c>
      <c r="C32" s="4" t="s">
        <v>24</v>
      </c>
      <c r="D32" s="61">
        <v>196</v>
      </c>
      <c r="E32" s="158">
        <f>32+167</f>
        <v>199</v>
      </c>
      <c r="F32" s="61">
        <f>30+174</f>
        <v>204</v>
      </c>
      <c r="G32" s="61">
        <v>194</v>
      </c>
      <c r="H32" s="61"/>
      <c r="I32" s="61"/>
      <c r="J32" s="61"/>
      <c r="K32" s="61"/>
      <c r="L32" s="61"/>
      <c r="M32" s="61"/>
      <c r="N32" s="61"/>
      <c r="O32" s="61"/>
    </row>
    <row r="33" spans="2:15" x14ac:dyDescent="0.2">
      <c r="B33" s="58" t="s">
        <v>66</v>
      </c>
      <c r="C33" s="4" t="s">
        <v>24</v>
      </c>
      <c r="D33" s="61">
        <v>476</v>
      </c>
      <c r="E33" s="158">
        <f>454+30</f>
        <v>484</v>
      </c>
      <c r="F33" s="61">
        <f>456+37</f>
        <v>493</v>
      </c>
      <c r="G33" s="61">
        <v>489</v>
      </c>
      <c r="H33" s="61"/>
      <c r="I33" s="61"/>
      <c r="J33" s="61"/>
      <c r="K33" s="61"/>
      <c r="L33" s="61"/>
      <c r="M33" s="61"/>
      <c r="N33" s="61"/>
      <c r="O33" s="61"/>
    </row>
    <row r="34" spans="2:15" x14ac:dyDescent="0.2">
      <c r="B34" s="57" t="s">
        <v>67</v>
      </c>
      <c r="C34" s="4" t="s">
        <v>25</v>
      </c>
      <c r="D34" s="61">
        <v>15</v>
      </c>
      <c r="E34" s="158">
        <f>21</f>
        <v>21</v>
      </c>
      <c r="F34" s="61">
        <f>13</f>
        <v>13</v>
      </c>
      <c r="G34" s="61">
        <v>18</v>
      </c>
      <c r="H34" s="61"/>
      <c r="I34" s="61"/>
      <c r="J34" s="61"/>
      <c r="K34" s="61"/>
      <c r="L34" s="61"/>
      <c r="M34" s="61"/>
      <c r="N34" s="61"/>
      <c r="O34" s="61"/>
    </row>
    <row r="35" spans="2:15" x14ac:dyDescent="0.2">
      <c r="B35" s="57" t="s">
        <v>46</v>
      </c>
      <c r="C35" s="4" t="s">
        <v>14</v>
      </c>
      <c r="D35" s="61">
        <v>377</v>
      </c>
      <c r="E35" s="158">
        <f>383</f>
        <v>383</v>
      </c>
      <c r="F35" s="61">
        <f>375</f>
        <v>375</v>
      </c>
      <c r="G35" s="61">
        <v>388</v>
      </c>
      <c r="H35" s="61"/>
      <c r="I35" s="61"/>
      <c r="J35" s="61"/>
      <c r="K35" s="61"/>
      <c r="L35" s="61"/>
      <c r="M35" s="61"/>
      <c r="N35" s="61"/>
      <c r="O35" s="61"/>
    </row>
    <row r="36" spans="2:15" x14ac:dyDescent="0.2">
      <c r="B36" s="57" t="s">
        <v>225</v>
      </c>
      <c r="C36" s="4" t="s">
        <v>16</v>
      </c>
      <c r="D36" s="61">
        <v>24</v>
      </c>
      <c r="E36" s="158">
        <v>25</v>
      </c>
      <c r="F36" s="61">
        <v>25</v>
      </c>
      <c r="G36" s="61">
        <v>27</v>
      </c>
      <c r="H36" s="61"/>
      <c r="I36" s="61"/>
      <c r="J36" s="61"/>
      <c r="K36" s="61"/>
      <c r="L36" s="61"/>
      <c r="M36" s="61"/>
      <c r="N36" s="61"/>
      <c r="O36" s="61"/>
    </row>
    <row r="37" spans="2:15" x14ac:dyDescent="0.2">
      <c r="B37" s="57" t="s">
        <v>54</v>
      </c>
      <c r="C37" s="4" t="s">
        <v>16</v>
      </c>
      <c r="D37" s="61">
        <v>72</v>
      </c>
      <c r="E37" s="158">
        <v>75</v>
      </c>
      <c r="F37" s="61">
        <v>73</v>
      </c>
      <c r="G37" s="61">
        <v>72</v>
      </c>
      <c r="H37" s="61"/>
      <c r="I37" s="61"/>
      <c r="J37" s="61"/>
      <c r="K37" s="61"/>
      <c r="L37" s="61"/>
      <c r="M37" s="61"/>
      <c r="N37" s="61"/>
      <c r="O37" s="61"/>
    </row>
    <row r="38" spans="2:15" x14ac:dyDescent="0.2">
      <c r="B38" s="57" t="s">
        <v>68</v>
      </c>
      <c r="C38" s="4" t="s">
        <v>18</v>
      </c>
      <c r="D38" s="61">
        <v>22</v>
      </c>
      <c r="E38" s="158">
        <v>24</v>
      </c>
      <c r="F38" s="61">
        <v>28</v>
      </c>
      <c r="G38" s="61">
        <v>29</v>
      </c>
      <c r="H38" s="61"/>
      <c r="I38" s="61"/>
      <c r="J38" s="61"/>
      <c r="K38" s="61"/>
      <c r="L38" s="61"/>
      <c r="M38" s="61"/>
      <c r="N38" s="61"/>
      <c r="O38" s="61"/>
    </row>
    <row r="39" spans="2:15" x14ac:dyDescent="0.2">
      <c r="B39" s="57" t="s">
        <v>45</v>
      </c>
      <c r="C39" s="4" t="s">
        <v>14</v>
      </c>
      <c r="D39" s="61">
        <v>319</v>
      </c>
      <c r="E39" s="158">
        <f>320</f>
        <v>320</v>
      </c>
      <c r="F39" s="61">
        <v>315</v>
      </c>
      <c r="G39" s="61">
        <v>324</v>
      </c>
      <c r="H39" s="61"/>
      <c r="I39" s="61"/>
      <c r="J39" s="61"/>
      <c r="K39" s="61"/>
      <c r="L39" s="61"/>
      <c r="M39" s="61"/>
      <c r="N39" s="61"/>
      <c r="O39" s="61"/>
    </row>
    <row r="40" spans="2:15" x14ac:dyDescent="0.2">
      <c r="B40" s="57" t="s">
        <v>47</v>
      </c>
      <c r="C40" s="4" t="s">
        <v>30</v>
      </c>
      <c r="D40" s="61">
        <v>0</v>
      </c>
      <c r="E40" s="158">
        <v>0</v>
      </c>
      <c r="F40" s="61">
        <v>0</v>
      </c>
      <c r="G40" s="61">
        <v>0</v>
      </c>
      <c r="H40" s="61"/>
      <c r="I40" s="61"/>
      <c r="J40" s="61"/>
      <c r="K40" s="61"/>
      <c r="L40" s="61"/>
      <c r="M40" s="61"/>
      <c r="N40" s="61"/>
      <c r="O40" s="61"/>
    </row>
    <row r="41" spans="2:15" x14ac:dyDescent="0.2">
      <c r="B41" s="57" t="s">
        <v>48</v>
      </c>
      <c r="C41" s="4" t="s">
        <v>30</v>
      </c>
      <c r="D41" s="61">
        <v>0</v>
      </c>
      <c r="E41" s="158">
        <v>0</v>
      </c>
      <c r="F41" s="61">
        <v>0</v>
      </c>
      <c r="G41" s="61">
        <v>0</v>
      </c>
      <c r="H41" s="61"/>
      <c r="I41" s="61"/>
      <c r="J41" s="61"/>
      <c r="K41" s="61"/>
      <c r="L41" s="61"/>
      <c r="M41" s="61"/>
      <c r="N41" s="61"/>
      <c r="O41" s="61"/>
    </row>
    <row r="42" spans="2:15" x14ac:dyDescent="0.2">
      <c r="B42" s="57" t="s">
        <v>69</v>
      </c>
      <c r="C42" s="4" t="s">
        <v>14</v>
      </c>
      <c r="D42" s="61">
        <v>2001</v>
      </c>
      <c r="E42" s="158">
        <v>2050</v>
      </c>
      <c r="F42" s="61">
        <v>2058</v>
      </c>
      <c r="G42" s="61">
        <v>2114</v>
      </c>
      <c r="H42" s="61"/>
      <c r="I42" s="61"/>
      <c r="J42" s="61"/>
      <c r="K42" s="61"/>
      <c r="L42" s="61"/>
      <c r="M42" s="61"/>
      <c r="N42" s="61"/>
      <c r="O42" s="61"/>
    </row>
    <row r="43" spans="2:15" x14ac:dyDescent="0.2">
      <c r="B43" s="57" t="s">
        <v>70</v>
      </c>
      <c r="C43" s="4" t="s">
        <v>14</v>
      </c>
      <c r="D43" s="61">
        <v>1466</v>
      </c>
      <c r="E43" s="158">
        <v>1479</v>
      </c>
      <c r="F43" s="61">
        <v>1473</v>
      </c>
      <c r="G43" s="61">
        <v>1462</v>
      </c>
      <c r="H43" s="61"/>
      <c r="I43" s="61"/>
      <c r="J43" s="61"/>
      <c r="K43" s="61"/>
      <c r="L43" s="61"/>
      <c r="M43" s="61"/>
      <c r="N43" s="61"/>
      <c r="O43" s="61"/>
    </row>
    <row r="44" spans="2:15" x14ac:dyDescent="0.2">
      <c r="B44" s="57" t="s">
        <v>71</v>
      </c>
      <c r="C44" s="4" t="s">
        <v>30</v>
      </c>
      <c r="D44" s="61">
        <v>0</v>
      </c>
      <c r="E44" s="158">
        <v>0</v>
      </c>
      <c r="F44" s="61">
        <v>0</v>
      </c>
      <c r="G44" s="61">
        <v>0</v>
      </c>
      <c r="H44" s="61"/>
      <c r="I44" s="61"/>
      <c r="J44" s="61"/>
      <c r="K44" s="61"/>
      <c r="L44" s="61"/>
      <c r="M44" s="61"/>
      <c r="N44" s="61"/>
      <c r="O44" s="61"/>
    </row>
    <row r="45" spans="2:15" x14ac:dyDescent="0.2">
      <c r="B45" s="57" t="s">
        <v>72</v>
      </c>
      <c r="C45" s="4" t="s">
        <v>30</v>
      </c>
      <c r="D45" s="61">
        <v>0</v>
      </c>
      <c r="E45" s="158">
        <v>0</v>
      </c>
      <c r="F45" s="61">
        <v>0</v>
      </c>
      <c r="G45" s="61">
        <v>0</v>
      </c>
      <c r="H45" s="61"/>
      <c r="I45" s="61"/>
      <c r="J45" s="61"/>
      <c r="K45" s="61"/>
      <c r="L45" s="61"/>
      <c r="M45" s="61"/>
      <c r="N45" s="61"/>
      <c r="O45" s="61"/>
    </row>
    <row r="46" spans="2:15" x14ac:dyDescent="0.2">
      <c r="B46" s="57" t="s">
        <v>73</v>
      </c>
      <c r="C46" s="4" t="s">
        <v>13</v>
      </c>
      <c r="D46" s="61">
        <v>135</v>
      </c>
      <c r="E46" s="158">
        <v>141</v>
      </c>
      <c r="F46" s="61">
        <v>143</v>
      </c>
      <c r="G46" s="61">
        <v>159</v>
      </c>
      <c r="H46" s="61"/>
      <c r="I46" s="61"/>
      <c r="J46" s="61"/>
      <c r="K46" s="61"/>
      <c r="L46" s="61"/>
      <c r="M46" s="61"/>
      <c r="N46" s="61"/>
      <c r="O46" s="61"/>
    </row>
    <row r="47" spans="2:15" x14ac:dyDescent="0.2">
      <c r="B47" s="57" t="s">
        <v>74</v>
      </c>
      <c r="C47" s="4" t="s">
        <v>13</v>
      </c>
      <c r="D47" s="61">
        <v>0</v>
      </c>
      <c r="E47" s="158">
        <v>0</v>
      </c>
      <c r="F47" s="61">
        <v>0</v>
      </c>
      <c r="G47" s="61">
        <v>0</v>
      </c>
      <c r="H47" s="61"/>
      <c r="I47" s="61"/>
      <c r="J47" s="61"/>
      <c r="K47" s="61"/>
      <c r="L47" s="61"/>
      <c r="M47" s="61"/>
      <c r="N47" s="61"/>
      <c r="O47" s="61"/>
    </row>
    <row r="48" spans="2:15" x14ac:dyDescent="0.2">
      <c r="B48" s="57" t="s">
        <v>75</v>
      </c>
      <c r="C48" s="4" t="s">
        <v>13</v>
      </c>
      <c r="D48" s="61">
        <v>138</v>
      </c>
      <c r="E48" s="158">
        <v>134</v>
      </c>
      <c r="F48" s="61">
        <v>140</v>
      </c>
      <c r="G48" s="61">
        <v>142</v>
      </c>
      <c r="H48" s="61"/>
      <c r="I48" s="61"/>
      <c r="J48" s="61"/>
      <c r="K48" s="61"/>
      <c r="L48" s="61"/>
      <c r="M48" s="61"/>
      <c r="N48" s="61"/>
      <c r="O48" s="61"/>
    </row>
    <row r="49" spans="1:15" x14ac:dyDescent="0.2">
      <c r="B49" s="57" t="s">
        <v>77</v>
      </c>
      <c r="C49" s="4" t="s">
        <v>31</v>
      </c>
      <c r="D49" s="61">
        <v>822</v>
      </c>
      <c r="E49" s="158">
        <v>857</v>
      </c>
      <c r="F49" s="61">
        <v>842</v>
      </c>
      <c r="G49" s="61">
        <v>882</v>
      </c>
      <c r="H49" s="61"/>
      <c r="I49" s="61"/>
      <c r="J49" s="61"/>
      <c r="K49" s="61"/>
      <c r="L49" s="61"/>
      <c r="M49" s="61"/>
      <c r="N49" s="61"/>
      <c r="O49" s="61"/>
    </row>
    <row r="50" spans="1:15" x14ac:dyDescent="0.2">
      <c r="B50" s="57" t="s">
        <v>78</v>
      </c>
      <c r="C50" s="4" t="s">
        <v>32</v>
      </c>
      <c r="D50" s="61">
        <v>114</v>
      </c>
      <c r="E50" s="158">
        <v>117</v>
      </c>
      <c r="F50" s="61">
        <v>107</v>
      </c>
      <c r="G50" s="61">
        <v>108</v>
      </c>
      <c r="H50" s="61"/>
      <c r="I50" s="61"/>
      <c r="J50" s="61"/>
      <c r="K50" s="61"/>
      <c r="L50" s="61"/>
      <c r="M50" s="61"/>
      <c r="N50" s="61"/>
      <c r="O50" s="61"/>
    </row>
    <row r="51" spans="1:15" x14ac:dyDescent="0.2">
      <c r="B51" s="57" t="s">
        <v>79</v>
      </c>
      <c r="C51" s="4" t="s">
        <v>33</v>
      </c>
      <c r="D51" s="158">
        <f>1343+TXIXEXP_TXXICHILDREN!C15</f>
        <v>1504</v>
      </c>
      <c r="E51" s="158">
        <f>1350+TXIXEXP_TXXICHILDREN!D15</f>
        <v>1512</v>
      </c>
      <c r="F51" s="158">
        <f>1368+TXIXEXP_TXXICHILDREN!E15</f>
        <v>1531</v>
      </c>
      <c r="G51" s="158">
        <f>1423+TXIXEXP_TXXICHILDREN!F15</f>
        <v>1578</v>
      </c>
      <c r="H51" s="158">
        <f>0+TXIXEXP_TXXICHILDREN!G15</f>
        <v>0</v>
      </c>
      <c r="I51" s="158">
        <f>0+TXIXEXP_TXXICHILDREN!H15</f>
        <v>0</v>
      </c>
      <c r="J51" s="158">
        <f>0+TXIXEXP_TXXICHILDREN!I15</f>
        <v>0</v>
      </c>
      <c r="K51" s="158">
        <f>0+TXIXEXP_TXXICHILDREN!J15</f>
        <v>0</v>
      </c>
      <c r="L51" s="158">
        <f>0+TXIXEXP_TXXICHILDREN!K15</f>
        <v>0</v>
      </c>
      <c r="M51" s="158">
        <f>0+TXIXEXP_TXXICHILDREN!L15</f>
        <v>0</v>
      </c>
      <c r="N51" s="158">
        <f>0+TXIXEXP_TXXICHILDREN!M15</f>
        <v>0</v>
      </c>
      <c r="O51" s="158">
        <f>0+TXIXEXP_TXXICHILDREN!N15</f>
        <v>0</v>
      </c>
    </row>
    <row r="52" spans="1:15" x14ac:dyDescent="0.2">
      <c r="B52" s="57" t="s">
        <v>80</v>
      </c>
      <c r="C52" s="4" t="s">
        <v>35</v>
      </c>
      <c r="D52" s="61">
        <v>6343</v>
      </c>
      <c r="E52" s="158">
        <v>6432</v>
      </c>
      <c r="F52" s="61">
        <v>6549</v>
      </c>
      <c r="G52" s="61">
        <v>6609</v>
      </c>
      <c r="H52" s="61"/>
      <c r="I52" s="61"/>
      <c r="J52" s="61"/>
      <c r="K52" s="61"/>
      <c r="L52" s="61"/>
      <c r="M52" s="61"/>
      <c r="N52" s="61"/>
      <c r="O52" s="61"/>
    </row>
    <row r="53" spans="1:15" x14ac:dyDescent="0.2">
      <c r="B53" s="57" t="s">
        <v>81</v>
      </c>
      <c r="C53" s="4" t="s">
        <v>35</v>
      </c>
      <c r="D53" s="61">
        <v>0</v>
      </c>
      <c r="E53" s="158">
        <v>0</v>
      </c>
      <c r="F53" s="61">
        <v>0</v>
      </c>
      <c r="G53" s="61">
        <v>0</v>
      </c>
      <c r="H53" s="61"/>
      <c r="I53" s="61"/>
      <c r="J53" s="61"/>
      <c r="K53" s="61"/>
      <c r="L53" s="61"/>
      <c r="M53" s="61"/>
      <c r="N53" s="61"/>
      <c r="O53" s="61"/>
    </row>
    <row r="54" spans="1:15" x14ac:dyDescent="0.2">
      <c r="B54" s="57" t="s">
        <v>82</v>
      </c>
      <c r="C54" s="4" t="s">
        <v>35</v>
      </c>
      <c r="D54" s="61">
        <v>4085</v>
      </c>
      <c r="E54" s="158">
        <v>4112</v>
      </c>
      <c r="F54" s="61">
        <v>4156</v>
      </c>
      <c r="G54" s="61">
        <v>4199</v>
      </c>
      <c r="H54" s="61"/>
      <c r="I54" s="61"/>
      <c r="J54" s="61"/>
      <c r="K54" s="61"/>
      <c r="L54" s="61"/>
      <c r="M54" s="61"/>
      <c r="N54" s="61"/>
      <c r="O54" s="61"/>
    </row>
    <row r="55" spans="1:15" x14ac:dyDescent="0.2">
      <c r="B55" s="57" t="s">
        <v>83</v>
      </c>
      <c r="C55" s="4" t="s">
        <v>34</v>
      </c>
      <c r="D55" s="61">
        <v>267</v>
      </c>
      <c r="E55" s="158">
        <v>266</v>
      </c>
      <c r="F55" s="61">
        <v>272</v>
      </c>
      <c r="G55" s="61">
        <v>263</v>
      </c>
      <c r="H55" s="61"/>
      <c r="I55" s="6"/>
      <c r="J55" s="61"/>
      <c r="K55" s="61"/>
      <c r="L55" s="61"/>
      <c r="M55" s="61"/>
      <c r="N55" s="61"/>
      <c r="O55" s="61"/>
    </row>
    <row r="56" spans="1:15" x14ac:dyDescent="0.2">
      <c r="B56" s="57" t="s">
        <v>84</v>
      </c>
      <c r="C56" s="4" t="s">
        <v>16</v>
      </c>
      <c r="D56" s="61">
        <v>19</v>
      </c>
      <c r="E56" s="158">
        <v>17</v>
      </c>
      <c r="F56" s="61">
        <v>17</v>
      </c>
      <c r="G56" s="61">
        <v>16</v>
      </c>
      <c r="H56" s="61"/>
      <c r="I56" s="61"/>
      <c r="J56" s="61"/>
      <c r="K56" s="61"/>
      <c r="L56" s="61"/>
      <c r="M56" s="61"/>
      <c r="N56" s="61"/>
      <c r="O56" s="61"/>
    </row>
    <row r="57" spans="1:15" x14ac:dyDescent="0.2">
      <c r="B57" s="57" t="s">
        <v>159</v>
      </c>
      <c r="D57" s="61">
        <v>128</v>
      </c>
      <c r="E57" s="158">
        <f>11+129</f>
        <v>140</v>
      </c>
      <c r="F57" s="61">
        <f>13+120</f>
        <v>133</v>
      </c>
      <c r="G57" s="61">
        <v>127</v>
      </c>
      <c r="H57" s="61"/>
      <c r="I57" s="61"/>
      <c r="J57" s="61"/>
      <c r="K57" s="61"/>
      <c r="L57" s="61"/>
      <c r="M57" s="61"/>
      <c r="N57" s="61"/>
      <c r="O57" s="61"/>
    </row>
    <row r="58" spans="1:15" x14ac:dyDescent="0.2">
      <c r="B58" s="57" t="s">
        <v>200</v>
      </c>
      <c r="D58" s="61">
        <v>6</v>
      </c>
      <c r="E58" s="158">
        <v>5</v>
      </c>
      <c r="F58" s="61">
        <v>4</v>
      </c>
      <c r="G58" s="61">
        <v>2</v>
      </c>
      <c r="H58" s="61"/>
      <c r="I58" s="61"/>
      <c r="J58" s="61"/>
      <c r="K58" s="61"/>
      <c r="L58" s="61"/>
      <c r="M58" s="61"/>
      <c r="N58" s="61"/>
      <c r="O58" s="61"/>
    </row>
    <row r="59" spans="1:15" x14ac:dyDescent="0.2">
      <c r="B59" s="57" t="s">
        <v>163</v>
      </c>
      <c r="D59" s="61">
        <v>1</v>
      </c>
      <c r="E59" s="158">
        <v>1</v>
      </c>
      <c r="F59" s="61">
        <v>0</v>
      </c>
      <c r="G59" s="61">
        <v>0</v>
      </c>
      <c r="H59" s="61"/>
      <c r="I59" s="61"/>
      <c r="J59" s="61"/>
      <c r="K59" s="61"/>
      <c r="L59" s="61"/>
      <c r="M59" s="61"/>
      <c r="N59" s="61"/>
      <c r="O59" s="61"/>
    </row>
    <row r="60" spans="1:15" s="146" customFormat="1" x14ac:dyDescent="0.2">
      <c r="A60" s="143"/>
      <c r="B60" s="144" t="s">
        <v>172</v>
      </c>
      <c r="C60" s="143"/>
      <c r="D60" s="145">
        <f>1123+102</f>
        <v>1225</v>
      </c>
      <c r="E60" s="151">
        <f>1114+93</f>
        <v>1207</v>
      </c>
      <c r="F60" s="145">
        <f>1062+85</f>
        <v>1147</v>
      </c>
      <c r="G60" s="145">
        <f>1003+80+1</f>
        <v>1084</v>
      </c>
      <c r="H60" s="145"/>
      <c r="I60" s="145"/>
      <c r="J60" s="145"/>
      <c r="K60" s="145"/>
      <c r="L60" s="145"/>
      <c r="M60" s="145"/>
      <c r="N60" s="145"/>
      <c r="O60" s="145"/>
    </row>
    <row r="61" spans="1:15" s="146" customFormat="1" x14ac:dyDescent="0.2">
      <c r="A61" s="143"/>
      <c r="B61" s="144" t="s">
        <v>226</v>
      </c>
      <c r="C61" s="143" t="s">
        <v>27</v>
      </c>
      <c r="D61" s="145">
        <v>0</v>
      </c>
      <c r="E61" s="151">
        <v>0</v>
      </c>
      <c r="F61" s="145">
        <v>0</v>
      </c>
      <c r="G61" s="145">
        <v>0</v>
      </c>
      <c r="H61" s="145"/>
      <c r="I61" s="145"/>
      <c r="J61" s="145"/>
      <c r="K61" s="145"/>
      <c r="L61" s="145"/>
      <c r="M61" s="145"/>
      <c r="N61" s="145"/>
      <c r="O61" s="145"/>
    </row>
    <row r="62" spans="1:15" x14ac:dyDescent="0.2">
      <c r="B62" s="57" t="s">
        <v>227</v>
      </c>
      <c r="C62" s="4" t="s">
        <v>27</v>
      </c>
      <c r="D62" s="61">
        <v>0</v>
      </c>
      <c r="E62" s="158">
        <v>0</v>
      </c>
      <c r="F62" s="145">
        <v>0</v>
      </c>
      <c r="G62" s="61">
        <v>0</v>
      </c>
      <c r="H62" s="61"/>
      <c r="I62" s="61"/>
      <c r="J62" s="61"/>
      <c r="K62" s="61"/>
      <c r="L62" s="61"/>
      <c r="M62" s="61"/>
      <c r="N62" s="61"/>
      <c r="O62" s="145"/>
    </row>
    <row r="63" spans="1:15" x14ac:dyDescent="0.2">
      <c r="B63" s="57" t="s">
        <v>228</v>
      </c>
      <c r="C63" s="4" t="s">
        <v>26</v>
      </c>
      <c r="D63" s="61">
        <v>0</v>
      </c>
      <c r="E63" s="158">
        <v>0</v>
      </c>
      <c r="F63" s="145">
        <v>0</v>
      </c>
      <c r="G63" s="61">
        <v>0</v>
      </c>
      <c r="H63" s="61"/>
      <c r="I63" s="61"/>
      <c r="J63" s="61"/>
      <c r="K63" s="61"/>
      <c r="L63" s="61"/>
      <c r="M63" s="61"/>
      <c r="N63" s="61"/>
      <c r="O63" s="145"/>
    </row>
    <row r="64" spans="1:15" x14ac:dyDescent="0.2">
      <c r="B64" s="57" t="s">
        <v>229</v>
      </c>
      <c r="C64" s="4" t="s">
        <v>26</v>
      </c>
      <c r="D64" s="61">
        <v>0</v>
      </c>
      <c r="E64" s="158">
        <v>0</v>
      </c>
      <c r="F64" s="145">
        <v>0</v>
      </c>
      <c r="G64" s="61">
        <v>0</v>
      </c>
      <c r="H64" s="61"/>
      <c r="I64" s="61"/>
      <c r="J64" s="61"/>
      <c r="K64" s="61"/>
      <c r="L64" s="61"/>
      <c r="M64" s="61"/>
      <c r="N64" s="61"/>
      <c r="O64" s="145"/>
    </row>
    <row r="65" spans="1:16" x14ac:dyDescent="0.2">
      <c r="B65" s="57" t="s">
        <v>230</v>
      </c>
      <c r="C65" s="4" t="s">
        <v>28</v>
      </c>
      <c r="D65" s="61">
        <v>21</v>
      </c>
      <c r="E65" s="158">
        <f>22+1</f>
        <v>23</v>
      </c>
      <c r="F65" s="61">
        <f>22+3</f>
        <v>25</v>
      </c>
      <c r="G65" s="61">
        <f>21+1</f>
        <v>22</v>
      </c>
      <c r="H65" s="61"/>
      <c r="I65" s="61"/>
      <c r="J65" s="61"/>
      <c r="K65" s="61"/>
      <c r="L65" s="61"/>
      <c r="M65" s="61"/>
      <c r="N65" s="61"/>
      <c r="O65" s="61"/>
    </row>
    <row r="66" spans="1:16" x14ac:dyDescent="0.2">
      <c r="B66" s="57" t="s">
        <v>232</v>
      </c>
      <c r="C66" s="4" t="s">
        <v>28</v>
      </c>
      <c r="D66" s="61">
        <v>0</v>
      </c>
      <c r="E66" s="158">
        <v>0</v>
      </c>
      <c r="F66" s="61">
        <v>0</v>
      </c>
      <c r="G66" s="61">
        <v>0</v>
      </c>
      <c r="H66" s="61"/>
      <c r="I66" s="61"/>
      <c r="J66" s="61"/>
      <c r="K66" s="61"/>
      <c r="L66" s="61"/>
      <c r="M66" s="61"/>
      <c r="N66" s="61"/>
      <c r="O66" s="61"/>
    </row>
    <row r="67" spans="1:16" x14ac:dyDescent="0.2">
      <c r="B67" s="57" t="s">
        <v>231</v>
      </c>
      <c r="C67" s="4" t="s">
        <v>28</v>
      </c>
      <c r="D67" s="61">
        <v>0</v>
      </c>
      <c r="E67" s="158">
        <v>0</v>
      </c>
      <c r="F67" s="61">
        <v>0</v>
      </c>
      <c r="G67" s="61">
        <v>0</v>
      </c>
      <c r="H67" s="61"/>
      <c r="I67" s="61"/>
      <c r="J67" s="61"/>
      <c r="K67" s="61"/>
      <c r="L67" s="61"/>
      <c r="M67" s="61"/>
      <c r="N67" s="61"/>
      <c r="O67" s="61"/>
    </row>
    <row r="68" spans="1:16" x14ac:dyDescent="0.2">
      <c r="B68" s="57" t="s">
        <v>233</v>
      </c>
      <c r="C68" s="4" t="s">
        <v>28</v>
      </c>
      <c r="D68" s="61">
        <v>4</v>
      </c>
      <c r="E68" s="158">
        <f>4+2</f>
        <v>6</v>
      </c>
      <c r="F68" s="61">
        <f>4+1</f>
        <v>5</v>
      </c>
      <c r="G68" s="61">
        <f>4+1</f>
        <v>5</v>
      </c>
      <c r="H68" s="61"/>
      <c r="I68" s="61"/>
      <c r="J68" s="61"/>
      <c r="K68" s="61"/>
      <c r="L68" s="61"/>
      <c r="M68" s="61"/>
      <c r="N68" s="61"/>
      <c r="O68" s="61"/>
    </row>
    <row r="69" spans="1:16" x14ac:dyDescent="0.2">
      <c r="B69" s="57" t="s">
        <v>234</v>
      </c>
      <c r="C69" s="4" t="s">
        <v>28</v>
      </c>
      <c r="D69" s="61">
        <v>0</v>
      </c>
      <c r="E69" s="158">
        <v>0</v>
      </c>
      <c r="F69" s="61">
        <v>0</v>
      </c>
      <c r="G69" s="61">
        <v>0</v>
      </c>
      <c r="H69" s="61"/>
      <c r="I69" s="61"/>
      <c r="J69" s="61"/>
      <c r="K69" s="61"/>
      <c r="L69" s="61"/>
      <c r="M69" s="61"/>
      <c r="N69" s="61"/>
      <c r="O69" s="61"/>
    </row>
    <row r="70" spans="1:16" s="146" customFormat="1" x14ac:dyDescent="0.2">
      <c r="A70" s="143"/>
      <c r="B70" s="144" t="s">
        <v>235</v>
      </c>
      <c r="C70" s="143" t="s">
        <v>29</v>
      </c>
      <c r="D70" s="145">
        <f>2+1</f>
        <v>3</v>
      </c>
      <c r="E70" s="151">
        <f>1+1</f>
        <v>2</v>
      </c>
      <c r="F70" s="145">
        <f>1+3</f>
        <v>4</v>
      </c>
      <c r="G70" s="145">
        <f>1+1</f>
        <v>2</v>
      </c>
      <c r="H70" s="145"/>
      <c r="I70" s="145"/>
      <c r="J70" s="145"/>
      <c r="K70" s="145"/>
      <c r="L70" s="145"/>
      <c r="M70" s="145"/>
      <c r="N70" s="145"/>
      <c r="O70" s="145"/>
      <c r="P70" s="147"/>
    </row>
    <row r="71" spans="1:16" s="146" customFormat="1" x14ac:dyDescent="0.2">
      <c r="A71" s="143"/>
      <c r="B71" s="144" t="s">
        <v>236</v>
      </c>
      <c r="C71" s="143" t="s">
        <v>27</v>
      </c>
      <c r="D71" s="145">
        <v>0</v>
      </c>
      <c r="E71" s="151">
        <v>0</v>
      </c>
      <c r="F71" s="145">
        <v>0</v>
      </c>
      <c r="G71" s="145">
        <v>0</v>
      </c>
      <c r="H71" s="145"/>
      <c r="I71" s="145"/>
      <c r="J71" s="145"/>
      <c r="K71" s="145"/>
      <c r="L71" s="145"/>
      <c r="M71" s="145"/>
      <c r="N71" s="145"/>
      <c r="O71" s="145"/>
      <c r="P71" s="147"/>
    </row>
    <row r="72" spans="1:16" s="146" customFormat="1" x14ac:dyDescent="0.2">
      <c r="A72" s="143"/>
      <c r="B72" s="144" t="s">
        <v>237</v>
      </c>
      <c r="C72" s="143" t="s">
        <v>27</v>
      </c>
      <c r="D72" s="145">
        <v>0</v>
      </c>
      <c r="E72" s="151">
        <v>0</v>
      </c>
      <c r="F72" s="145">
        <v>0</v>
      </c>
      <c r="G72" s="145">
        <v>0</v>
      </c>
      <c r="H72" s="145"/>
      <c r="I72" s="145"/>
      <c r="J72" s="145"/>
      <c r="K72" s="145"/>
      <c r="L72" s="145"/>
      <c r="M72" s="145"/>
      <c r="N72" s="145"/>
      <c r="O72" s="145"/>
      <c r="P72" s="147"/>
    </row>
    <row r="73" spans="1:16" s="146" customFormat="1" x14ac:dyDescent="0.2">
      <c r="A73" s="143"/>
      <c r="B73" s="144" t="s">
        <v>238</v>
      </c>
      <c r="C73" s="143" t="s">
        <v>26</v>
      </c>
      <c r="D73" s="145">
        <v>0</v>
      </c>
      <c r="E73" s="151">
        <v>0</v>
      </c>
      <c r="F73" s="145">
        <v>0</v>
      </c>
      <c r="G73" s="145">
        <v>0</v>
      </c>
      <c r="H73" s="145"/>
      <c r="I73" s="145"/>
      <c r="J73" s="145"/>
      <c r="K73" s="145"/>
      <c r="L73" s="145"/>
      <c r="M73" s="145"/>
      <c r="N73" s="145"/>
      <c r="O73" s="145"/>
      <c r="P73" s="147"/>
    </row>
    <row r="74" spans="1:16" s="146" customFormat="1" x14ac:dyDescent="0.2">
      <c r="A74" s="143"/>
      <c r="B74" s="144" t="s">
        <v>98</v>
      </c>
      <c r="C74" s="143" t="s">
        <v>28</v>
      </c>
      <c r="D74" s="145">
        <v>0</v>
      </c>
      <c r="E74" s="151">
        <v>0</v>
      </c>
      <c r="F74" s="145">
        <v>0</v>
      </c>
      <c r="G74" s="145">
        <v>0</v>
      </c>
      <c r="H74" s="145"/>
      <c r="I74" s="145"/>
      <c r="J74" s="145"/>
      <c r="K74" s="145"/>
      <c r="L74" s="145"/>
      <c r="M74" s="145"/>
      <c r="N74" s="145"/>
      <c r="O74" s="145"/>
      <c r="P74" s="147"/>
    </row>
    <row r="75" spans="1:16" s="146" customFormat="1" x14ac:dyDescent="0.2">
      <c r="A75" s="143"/>
      <c r="B75" s="144" t="s">
        <v>99</v>
      </c>
      <c r="C75" s="143" t="s">
        <v>28</v>
      </c>
      <c r="D75" s="145">
        <v>0</v>
      </c>
      <c r="E75" s="151">
        <v>0</v>
      </c>
      <c r="F75" s="145">
        <v>0</v>
      </c>
      <c r="G75" s="145">
        <v>0</v>
      </c>
      <c r="H75" s="145"/>
      <c r="I75" s="145"/>
      <c r="J75" s="145"/>
      <c r="K75" s="145"/>
      <c r="L75" s="145"/>
      <c r="M75" s="145"/>
      <c r="N75" s="145"/>
      <c r="O75" s="145"/>
      <c r="P75" s="147"/>
    </row>
    <row r="76" spans="1:16" s="146" customFormat="1" x14ac:dyDescent="0.2">
      <c r="A76" s="143"/>
      <c r="B76" s="144" t="s">
        <v>100</v>
      </c>
      <c r="C76" s="143" t="s">
        <v>28</v>
      </c>
      <c r="D76" s="145">
        <v>0</v>
      </c>
      <c r="E76" s="151">
        <v>0</v>
      </c>
      <c r="F76" s="145">
        <v>0</v>
      </c>
      <c r="G76" s="145">
        <v>0</v>
      </c>
      <c r="H76" s="145"/>
      <c r="I76" s="145"/>
      <c r="J76" s="145"/>
      <c r="K76" s="145"/>
      <c r="L76" s="145"/>
      <c r="M76" s="145"/>
      <c r="N76" s="145"/>
      <c r="O76" s="145"/>
      <c r="P76" s="147"/>
    </row>
    <row r="77" spans="1:16" s="146" customFormat="1" x14ac:dyDescent="0.2">
      <c r="A77" s="143"/>
      <c r="B77" s="144" t="s">
        <v>101</v>
      </c>
      <c r="C77" s="143" t="s">
        <v>28</v>
      </c>
      <c r="D77" s="145">
        <v>0</v>
      </c>
      <c r="E77" s="151">
        <v>0</v>
      </c>
      <c r="F77" s="145">
        <v>0</v>
      </c>
      <c r="G77" s="145">
        <v>0</v>
      </c>
      <c r="H77" s="145"/>
      <c r="I77" s="145"/>
      <c r="J77" s="145"/>
      <c r="K77" s="145"/>
      <c r="L77" s="145"/>
      <c r="M77" s="145"/>
      <c r="N77" s="145"/>
      <c r="O77" s="145"/>
      <c r="P77" s="147"/>
    </row>
    <row r="78" spans="1:16" s="146" customFormat="1" x14ac:dyDescent="0.2">
      <c r="A78" s="143"/>
      <c r="B78" s="144" t="s">
        <v>102</v>
      </c>
      <c r="C78" s="143" t="s">
        <v>29</v>
      </c>
      <c r="D78" s="145">
        <v>0</v>
      </c>
      <c r="E78" s="151">
        <v>0</v>
      </c>
      <c r="F78" s="145">
        <v>0</v>
      </c>
      <c r="G78" s="145">
        <v>0</v>
      </c>
      <c r="H78" s="145"/>
      <c r="I78" s="145"/>
      <c r="J78" s="145"/>
      <c r="K78" s="145"/>
      <c r="L78" s="145"/>
      <c r="M78" s="145"/>
      <c r="N78" s="145"/>
      <c r="O78" s="145"/>
      <c r="P78" s="147"/>
    </row>
    <row r="79" spans="1:16" s="146" customFormat="1" x14ac:dyDescent="0.2">
      <c r="A79" s="148" t="s">
        <v>41</v>
      </c>
      <c r="B79" s="144" t="s">
        <v>244</v>
      </c>
      <c r="C79" s="143" t="s">
        <v>37</v>
      </c>
      <c r="D79" s="145">
        <v>23</v>
      </c>
      <c r="E79" s="151">
        <v>23</v>
      </c>
      <c r="F79" s="145">
        <v>21</v>
      </c>
      <c r="G79" s="145">
        <v>24</v>
      </c>
      <c r="H79" s="145"/>
      <c r="I79" s="145"/>
      <c r="J79" s="145"/>
      <c r="K79" s="145"/>
      <c r="L79" s="145"/>
      <c r="M79" s="145"/>
      <c r="N79" s="145"/>
      <c r="O79" s="145"/>
      <c r="P79" s="147"/>
    </row>
    <row r="80" spans="1:16" s="146" customFormat="1" x14ac:dyDescent="0.2">
      <c r="A80" s="143"/>
      <c r="B80" s="144" t="s">
        <v>245</v>
      </c>
      <c r="C80" s="143" t="s">
        <v>37</v>
      </c>
      <c r="D80" s="145">
        <v>717</v>
      </c>
      <c r="E80" s="151">
        <f>5+704</f>
        <v>709</v>
      </c>
      <c r="F80" s="145">
        <f>5+712</f>
        <v>717</v>
      </c>
      <c r="G80" s="145">
        <v>699</v>
      </c>
      <c r="H80" s="145"/>
      <c r="I80" s="145"/>
      <c r="J80" s="145"/>
      <c r="K80" s="145"/>
      <c r="L80" s="145"/>
      <c r="M80" s="145"/>
      <c r="N80" s="145"/>
      <c r="O80" s="145"/>
      <c r="P80" s="147"/>
    </row>
    <row r="81" spans="1:16" s="146" customFormat="1" x14ac:dyDescent="0.2">
      <c r="A81" s="148" t="s">
        <v>41</v>
      </c>
      <c r="B81" s="149" t="s">
        <v>239</v>
      </c>
      <c r="C81" s="143" t="s">
        <v>19</v>
      </c>
      <c r="D81" s="145">
        <v>0</v>
      </c>
      <c r="E81" s="151">
        <v>0</v>
      </c>
      <c r="F81" s="145">
        <v>0</v>
      </c>
      <c r="G81" s="145">
        <v>0</v>
      </c>
      <c r="H81" s="145"/>
      <c r="I81" s="145"/>
      <c r="J81" s="145"/>
      <c r="K81" s="145"/>
      <c r="L81" s="145"/>
      <c r="M81" s="145"/>
      <c r="N81" s="145"/>
      <c r="O81" s="145"/>
      <c r="P81" s="147"/>
    </row>
    <row r="82" spans="1:16" s="146" customFormat="1" x14ac:dyDescent="0.2">
      <c r="A82" s="148" t="s">
        <v>41</v>
      </c>
      <c r="B82" s="149" t="s">
        <v>240</v>
      </c>
      <c r="C82" s="143" t="s">
        <v>20</v>
      </c>
      <c r="D82" s="145">
        <v>0</v>
      </c>
      <c r="E82" s="151">
        <v>0</v>
      </c>
      <c r="F82" s="145">
        <v>0</v>
      </c>
      <c r="G82" s="145">
        <v>0</v>
      </c>
      <c r="H82" s="145"/>
      <c r="I82" s="145"/>
      <c r="J82" s="145"/>
      <c r="K82" s="145"/>
      <c r="L82" s="145"/>
      <c r="M82" s="145"/>
      <c r="N82" s="145"/>
      <c r="O82" s="145"/>
      <c r="P82" s="147"/>
    </row>
    <row r="83" spans="1:16" s="146" customFormat="1" x14ac:dyDescent="0.2">
      <c r="A83" s="148" t="s">
        <v>41</v>
      </c>
      <c r="B83" s="149" t="s">
        <v>241</v>
      </c>
      <c r="C83" s="143" t="s">
        <v>20</v>
      </c>
      <c r="D83" s="145">
        <v>0</v>
      </c>
      <c r="E83" s="151">
        <v>0</v>
      </c>
      <c r="F83" s="145">
        <v>0</v>
      </c>
      <c r="G83" s="145">
        <v>0</v>
      </c>
      <c r="H83" s="145"/>
      <c r="I83" s="145"/>
      <c r="J83" s="145"/>
      <c r="K83" s="145"/>
      <c r="L83" s="145"/>
      <c r="M83" s="145"/>
      <c r="N83" s="145"/>
      <c r="O83" s="145"/>
      <c r="P83" s="147"/>
    </row>
    <row r="84" spans="1:16" s="146" customFormat="1" x14ac:dyDescent="0.2">
      <c r="A84" s="148" t="s">
        <v>41</v>
      </c>
      <c r="B84" s="149" t="s">
        <v>109</v>
      </c>
      <c r="C84" s="143" t="s">
        <v>21</v>
      </c>
      <c r="D84" s="145">
        <v>0</v>
      </c>
      <c r="E84" s="151">
        <v>0</v>
      </c>
      <c r="F84" s="145">
        <v>0</v>
      </c>
      <c r="G84" s="145">
        <v>0</v>
      </c>
      <c r="H84" s="145"/>
      <c r="I84" s="145"/>
      <c r="J84" s="145"/>
      <c r="K84" s="145"/>
      <c r="L84" s="145"/>
      <c r="M84" s="145"/>
      <c r="N84" s="145"/>
      <c r="O84" s="145"/>
      <c r="P84" s="147"/>
    </row>
    <row r="85" spans="1:16" s="146" customFormat="1" x14ac:dyDescent="0.2">
      <c r="A85" s="148" t="s">
        <v>41</v>
      </c>
      <c r="B85" s="149" t="s">
        <v>106</v>
      </c>
      <c r="C85" s="143" t="s">
        <v>21</v>
      </c>
      <c r="D85" s="145">
        <v>0</v>
      </c>
      <c r="E85" s="151">
        <v>0</v>
      </c>
      <c r="F85" s="145">
        <v>0</v>
      </c>
      <c r="G85" s="145">
        <v>0</v>
      </c>
      <c r="H85" s="145"/>
      <c r="I85" s="145"/>
      <c r="J85" s="145"/>
      <c r="K85" s="145"/>
      <c r="L85" s="145"/>
      <c r="M85" s="145"/>
      <c r="N85" s="145"/>
      <c r="O85" s="145"/>
      <c r="P85" s="147"/>
    </row>
    <row r="86" spans="1:16" s="146" customFormat="1" x14ac:dyDescent="0.2">
      <c r="A86" s="143"/>
      <c r="B86" s="149" t="s">
        <v>242</v>
      </c>
      <c r="C86" s="143" t="s">
        <v>20</v>
      </c>
      <c r="D86" s="145">
        <v>0</v>
      </c>
      <c r="E86" s="151">
        <v>0</v>
      </c>
      <c r="F86" s="145">
        <v>0</v>
      </c>
      <c r="G86" s="145">
        <v>0</v>
      </c>
      <c r="H86" s="145"/>
      <c r="I86" s="145"/>
      <c r="J86" s="145"/>
      <c r="K86" s="145"/>
      <c r="L86" s="145"/>
      <c r="M86" s="145"/>
      <c r="N86" s="145"/>
      <c r="O86" s="145"/>
      <c r="P86" s="147"/>
    </row>
    <row r="87" spans="1:16" s="146" customFormat="1" x14ac:dyDescent="0.2">
      <c r="A87" s="143"/>
      <c r="B87" s="149" t="s">
        <v>108</v>
      </c>
      <c r="C87" s="143" t="s">
        <v>21</v>
      </c>
      <c r="D87" s="145">
        <v>0</v>
      </c>
      <c r="E87" s="151">
        <v>0</v>
      </c>
      <c r="F87" s="145">
        <v>0</v>
      </c>
      <c r="G87" s="145">
        <v>0</v>
      </c>
      <c r="H87" s="145"/>
      <c r="I87" s="145"/>
      <c r="J87" s="145"/>
      <c r="K87" s="145"/>
      <c r="L87" s="145"/>
      <c r="M87" s="145"/>
      <c r="N87" s="145"/>
      <c r="O87" s="145"/>
      <c r="P87" s="147"/>
    </row>
    <row r="88" spans="1:16" s="146" customFormat="1" x14ac:dyDescent="0.2">
      <c r="A88" s="143"/>
      <c r="B88" s="149" t="s">
        <v>243</v>
      </c>
      <c r="C88" s="143" t="s">
        <v>14</v>
      </c>
      <c r="D88" s="145">
        <v>0</v>
      </c>
      <c r="E88" s="151">
        <v>0</v>
      </c>
      <c r="F88" s="145">
        <v>0</v>
      </c>
      <c r="G88" s="145">
        <v>0</v>
      </c>
      <c r="H88" s="145"/>
      <c r="I88" s="145"/>
      <c r="J88" s="145"/>
      <c r="K88" s="145"/>
      <c r="L88" s="145"/>
      <c r="M88" s="145"/>
      <c r="N88" s="145"/>
      <c r="O88" s="145"/>
      <c r="P88" s="147"/>
    </row>
    <row r="89" spans="1:16" s="146" customFormat="1" x14ac:dyDescent="0.2">
      <c r="A89" s="143"/>
      <c r="B89" s="149" t="s">
        <v>246</v>
      </c>
      <c r="C89" s="143" t="s">
        <v>21</v>
      </c>
      <c r="D89" s="145">
        <v>0</v>
      </c>
      <c r="E89" s="151">
        <v>0</v>
      </c>
      <c r="F89" s="145">
        <v>0</v>
      </c>
      <c r="G89" s="145">
        <v>2</v>
      </c>
      <c r="H89" s="145"/>
      <c r="I89" s="145"/>
      <c r="J89" s="145"/>
      <c r="K89" s="145"/>
      <c r="L89" s="145"/>
      <c r="M89" s="145"/>
      <c r="N89" s="145"/>
      <c r="O89" s="145"/>
      <c r="P89" s="147"/>
    </row>
    <row r="90" spans="1:16" s="146" customFormat="1" x14ac:dyDescent="0.2">
      <c r="A90" s="143"/>
      <c r="B90" s="149" t="s">
        <v>247</v>
      </c>
      <c r="C90" s="143" t="s">
        <v>21</v>
      </c>
      <c r="D90" s="145">
        <v>0</v>
      </c>
      <c r="E90" s="151">
        <v>0</v>
      </c>
      <c r="F90" s="145">
        <v>0</v>
      </c>
      <c r="G90" s="145">
        <v>0</v>
      </c>
      <c r="H90" s="145"/>
      <c r="I90" s="145"/>
      <c r="J90" s="145"/>
      <c r="K90" s="145"/>
      <c r="L90" s="145"/>
      <c r="M90" s="145"/>
      <c r="N90" s="145"/>
      <c r="O90" s="145"/>
      <c r="P90" s="147"/>
    </row>
    <row r="91" spans="1:16" s="146" customFormat="1" x14ac:dyDescent="0.2">
      <c r="A91" s="143"/>
      <c r="B91" s="149" t="s">
        <v>110</v>
      </c>
      <c r="C91" s="143" t="s">
        <v>22</v>
      </c>
      <c r="D91" s="145">
        <v>0</v>
      </c>
      <c r="E91" s="151">
        <v>0</v>
      </c>
      <c r="F91" s="145">
        <v>0</v>
      </c>
      <c r="G91" s="145">
        <v>0</v>
      </c>
      <c r="H91" s="145"/>
      <c r="I91" s="145"/>
      <c r="J91" s="145"/>
      <c r="K91" s="145"/>
      <c r="L91" s="145"/>
      <c r="M91" s="145"/>
      <c r="N91" s="145"/>
      <c r="O91" s="145"/>
      <c r="P91" s="147"/>
    </row>
    <row r="92" spans="1:16" s="146" customFormat="1" x14ac:dyDescent="0.2">
      <c r="A92" s="148" t="s">
        <v>41</v>
      </c>
      <c r="B92" s="144" t="s">
        <v>111</v>
      </c>
      <c r="C92" s="143" t="s">
        <v>38</v>
      </c>
      <c r="D92" s="145">
        <v>0</v>
      </c>
      <c r="E92" s="151">
        <v>0</v>
      </c>
      <c r="F92" s="145">
        <v>0</v>
      </c>
      <c r="G92" s="145">
        <v>0</v>
      </c>
      <c r="H92" s="145"/>
      <c r="I92" s="145"/>
      <c r="J92" s="145"/>
      <c r="K92" s="145"/>
      <c r="L92" s="145"/>
      <c r="M92" s="145"/>
      <c r="N92" s="145"/>
      <c r="O92" s="145"/>
      <c r="P92" s="147"/>
    </row>
    <row r="93" spans="1:16" s="146" customFormat="1" x14ac:dyDescent="0.2">
      <c r="A93" s="143"/>
      <c r="B93" s="144" t="s">
        <v>112</v>
      </c>
      <c r="C93" s="143" t="s">
        <v>39</v>
      </c>
      <c r="D93" s="145">
        <v>0</v>
      </c>
      <c r="E93" s="151">
        <v>0</v>
      </c>
      <c r="F93" s="145">
        <v>0</v>
      </c>
      <c r="G93" s="145">
        <v>0</v>
      </c>
      <c r="H93" s="145"/>
      <c r="I93" s="145"/>
      <c r="J93" s="145"/>
      <c r="K93" s="145"/>
      <c r="L93" s="145"/>
      <c r="M93" s="145"/>
      <c r="N93" s="145"/>
      <c r="O93" s="145"/>
      <c r="P93" s="147"/>
    </row>
    <row r="94" spans="1:16" s="146" customFormat="1" x14ac:dyDescent="0.2">
      <c r="A94" s="143"/>
      <c r="B94" s="144" t="s">
        <v>113</v>
      </c>
      <c r="C94" s="143" t="s">
        <v>39</v>
      </c>
      <c r="D94" s="145">
        <v>0</v>
      </c>
      <c r="E94" s="151">
        <v>0</v>
      </c>
      <c r="F94" s="145">
        <v>0</v>
      </c>
      <c r="G94" s="145">
        <v>0</v>
      </c>
      <c r="H94" s="145"/>
      <c r="I94" s="145"/>
      <c r="J94" s="145"/>
      <c r="K94" s="145"/>
      <c r="L94" s="145"/>
      <c r="M94" s="145"/>
      <c r="N94" s="145"/>
      <c r="O94" s="145"/>
      <c r="P94" s="147"/>
    </row>
    <row r="95" spans="1:16" s="146" customFormat="1" x14ac:dyDescent="0.2">
      <c r="A95" s="143"/>
      <c r="B95" s="144" t="s">
        <v>204</v>
      </c>
      <c r="C95" s="143" t="s">
        <v>16</v>
      </c>
      <c r="D95" s="145">
        <v>43</v>
      </c>
      <c r="E95" s="151">
        <f>36</f>
        <v>36</v>
      </c>
      <c r="F95" s="145">
        <v>33</v>
      </c>
      <c r="G95" s="145">
        <v>33</v>
      </c>
      <c r="H95" s="145"/>
      <c r="I95" s="145"/>
      <c r="J95" s="145"/>
      <c r="K95" s="145"/>
      <c r="L95" s="145"/>
      <c r="M95" s="145"/>
      <c r="N95" s="145"/>
      <c r="O95" s="145"/>
      <c r="P95" s="147"/>
    </row>
    <row r="96" spans="1:16" s="146" customFormat="1" x14ac:dyDescent="0.2">
      <c r="A96" s="143"/>
      <c r="B96" s="144" t="s">
        <v>187</v>
      </c>
      <c r="C96" s="143" t="s">
        <v>16</v>
      </c>
      <c r="D96" s="145">
        <v>0</v>
      </c>
      <c r="E96" s="151">
        <v>0</v>
      </c>
      <c r="F96" s="145">
        <v>0</v>
      </c>
      <c r="G96" s="145">
        <v>0</v>
      </c>
      <c r="H96" s="145"/>
      <c r="I96" s="145"/>
      <c r="J96" s="145"/>
      <c r="K96" s="145"/>
      <c r="L96" s="145"/>
      <c r="M96" s="145"/>
      <c r="N96" s="145"/>
      <c r="O96" s="145"/>
      <c r="P96" s="147"/>
    </row>
    <row r="97" spans="1:16" s="146" customFormat="1" x14ac:dyDescent="0.2">
      <c r="A97" s="143"/>
      <c r="B97" s="144" t="s">
        <v>185</v>
      </c>
      <c r="C97" s="143" t="s">
        <v>13</v>
      </c>
      <c r="D97" s="145">
        <v>5</v>
      </c>
      <c r="E97" s="151">
        <f>6</f>
        <v>6</v>
      </c>
      <c r="F97" s="145">
        <v>7</v>
      </c>
      <c r="G97" s="145">
        <v>8</v>
      </c>
      <c r="H97" s="145"/>
      <c r="I97" s="145"/>
      <c r="J97" s="145"/>
      <c r="K97" s="145"/>
      <c r="L97" s="145"/>
      <c r="M97" s="145"/>
      <c r="N97" s="145"/>
      <c r="O97" s="145"/>
      <c r="P97" s="147"/>
    </row>
    <row r="98" spans="1:16" s="146" customFormat="1" x14ac:dyDescent="0.2">
      <c r="A98" s="143"/>
      <c r="B98" s="144" t="s">
        <v>188</v>
      </c>
      <c r="C98" s="143"/>
      <c r="D98" s="145">
        <v>8</v>
      </c>
      <c r="E98" s="151">
        <v>8</v>
      </c>
      <c r="F98" s="145">
        <v>7</v>
      </c>
      <c r="G98" s="145">
        <v>9</v>
      </c>
      <c r="H98" s="145"/>
      <c r="I98" s="145"/>
      <c r="J98" s="145"/>
      <c r="K98" s="145"/>
      <c r="L98" s="145"/>
      <c r="M98" s="145"/>
      <c r="N98" s="145"/>
      <c r="O98" s="145"/>
      <c r="P98" s="147"/>
    </row>
    <row r="99" spans="1:16" s="146" customFormat="1" x14ac:dyDescent="0.2">
      <c r="A99" s="143"/>
      <c r="B99" s="144" t="s">
        <v>198</v>
      </c>
      <c r="C99" s="143"/>
      <c r="D99" s="145">
        <v>198</v>
      </c>
      <c r="E99" s="151">
        <f>275</f>
        <v>275</v>
      </c>
      <c r="F99" s="145">
        <v>262</v>
      </c>
      <c r="G99" s="145">
        <v>233</v>
      </c>
      <c r="H99" s="145"/>
      <c r="I99" s="145"/>
      <c r="J99" s="145"/>
      <c r="K99" s="145"/>
      <c r="L99" s="145"/>
      <c r="M99" s="156"/>
      <c r="N99" s="156"/>
      <c r="O99" s="156"/>
    </row>
    <row r="100" spans="1:16" s="146" customFormat="1" x14ac:dyDescent="0.2">
      <c r="A100" s="143"/>
      <c r="B100" s="144" t="s">
        <v>216</v>
      </c>
      <c r="C100" s="143"/>
      <c r="D100" s="145">
        <v>1</v>
      </c>
      <c r="E100" s="151">
        <v>0</v>
      </c>
      <c r="F100" s="145">
        <v>0</v>
      </c>
      <c r="G100" s="145">
        <v>0</v>
      </c>
      <c r="H100" s="145"/>
      <c r="I100" s="145"/>
      <c r="J100" s="145"/>
      <c r="K100" s="145"/>
      <c r="L100" s="145"/>
      <c r="M100" s="156"/>
      <c r="N100" s="156"/>
      <c r="O100" s="156"/>
    </row>
    <row r="101" spans="1:16" s="146" customFormat="1" x14ac:dyDescent="0.2">
      <c r="A101" s="143"/>
      <c r="B101" s="144" t="s">
        <v>217</v>
      </c>
      <c r="C101" s="143"/>
      <c r="D101" s="145">
        <v>119</v>
      </c>
      <c r="E101" s="151">
        <v>119</v>
      </c>
      <c r="F101" s="145">
        <v>118</v>
      </c>
      <c r="G101" s="145">
        <v>119</v>
      </c>
      <c r="H101" s="145"/>
      <c r="I101" s="145"/>
      <c r="J101" s="145"/>
      <c r="K101" s="145"/>
      <c r="L101" s="145"/>
      <c r="M101" s="156"/>
      <c r="N101" s="156"/>
      <c r="O101" s="156"/>
    </row>
    <row r="102" spans="1:16" s="146" customFormat="1" x14ac:dyDescent="0.2">
      <c r="A102" s="143"/>
      <c r="B102" s="149" t="s">
        <v>114</v>
      </c>
      <c r="C102" s="143" t="s">
        <v>23</v>
      </c>
      <c r="D102" s="150">
        <v>290</v>
      </c>
      <c r="E102" s="161">
        <v>286</v>
      </c>
      <c r="F102" s="150">
        <v>285</v>
      </c>
      <c r="G102" s="150">
        <v>288</v>
      </c>
      <c r="H102" s="150"/>
      <c r="I102" s="150"/>
      <c r="J102" s="150"/>
      <c r="K102" s="150"/>
      <c r="L102" s="150"/>
    </row>
    <row r="103" spans="1:16" s="146" customFormat="1" x14ac:dyDescent="0.2">
      <c r="A103" s="143"/>
      <c r="B103" s="149"/>
      <c r="C103" s="143"/>
      <c r="D103" s="151">
        <f>SUM(D3:D102)</f>
        <v>34328</v>
      </c>
      <c r="E103" s="151">
        <f>SUM(E3:E102)</f>
        <v>34934</v>
      </c>
      <c r="F103" s="151">
        <f>SUM(F3:F102)</f>
        <v>35199</v>
      </c>
      <c r="G103" s="151">
        <f>SUM(G3:G102)</f>
        <v>35436</v>
      </c>
      <c r="H103" s="151">
        <f t="shared" ref="H103:M103" si="0">SUM(H3:H102)</f>
        <v>0</v>
      </c>
      <c r="I103" s="151">
        <f t="shared" si="0"/>
        <v>0</v>
      </c>
      <c r="J103" s="151">
        <f t="shared" si="0"/>
        <v>0</v>
      </c>
      <c r="K103" s="151">
        <f>SUM(K3:K102)</f>
        <v>0</v>
      </c>
      <c r="L103" s="151">
        <f>SUM(L3:L102)</f>
        <v>0</v>
      </c>
      <c r="M103" s="157">
        <f t="shared" si="0"/>
        <v>0</v>
      </c>
      <c r="N103" s="157">
        <f>SUM(N3:N102)</f>
        <v>0</v>
      </c>
      <c r="O103" s="157">
        <f>SUM(O3:O102)</f>
        <v>0</v>
      </c>
    </row>
    <row r="104" spans="1:16" s="146" customFormat="1" x14ac:dyDescent="0.2">
      <c r="A104" s="143"/>
      <c r="B104" s="149"/>
      <c r="C104" s="143"/>
      <c r="D104" s="151"/>
      <c r="E104" s="152"/>
      <c r="F104" s="153"/>
    </row>
    <row r="105" spans="1:16" s="146" customFormat="1" ht="18" x14ac:dyDescent="0.25">
      <c r="A105" s="143"/>
      <c r="B105" s="154" t="s">
        <v>180</v>
      </c>
      <c r="C105" s="143"/>
      <c r="E105" s="152"/>
      <c r="F105" s="155"/>
    </row>
    <row r="106" spans="1:16" s="146" customFormat="1" x14ac:dyDescent="0.2">
      <c r="A106" s="143"/>
      <c r="B106" s="149"/>
      <c r="C106" s="143"/>
      <c r="E106" s="152"/>
      <c r="F106" s="153"/>
    </row>
    <row r="107" spans="1:16" s="146" customFormat="1" x14ac:dyDescent="0.2">
      <c r="A107" s="143"/>
      <c r="B107" s="149"/>
      <c r="C107" s="143"/>
      <c r="D107" s="151">
        <f>D103+TXIXEXP_TXXICHILDREN!C37</f>
        <v>34509</v>
      </c>
      <c r="E107" s="151">
        <f>E103+TXIXEXP_TXXICHILDREN!D37</f>
        <v>35132</v>
      </c>
      <c r="F107" s="151">
        <f>F103+TXIXEXP_TXXICHILDREN!E37</f>
        <v>35400</v>
      </c>
      <c r="G107" s="151">
        <f>G103+TXIXEXP_TXXICHILDREN!F37</f>
        <v>35629</v>
      </c>
    </row>
    <row r="108" spans="1:16" s="146" customFormat="1" x14ac:dyDescent="0.2">
      <c r="A108" s="143"/>
      <c r="B108" s="149"/>
      <c r="C108" s="143"/>
      <c r="E108" s="152"/>
      <c r="F108" s="162"/>
    </row>
    <row r="109" spans="1:16" s="146" customFormat="1" x14ac:dyDescent="0.2">
      <c r="A109" s="143"/>
      <c r="B109" s="149"/>
      <c r="C109" s="143"/>
      <c r="E109" s="152"/>
      <c r="F109" s="153"/>
    </row>
    <row r="110" spans="1:16" s="146" customFormat="1" x14ac:dyDescent="0.2">
      <c r="A110" s="143"/>
      <c r="B110" s="149"/>
      <c r="C110" s="143"/>
      <c r="E110" s="152"/>
      <c r="F110" s="153"/>
    </row>
    <row r="111" spans="1:16" s="146" customFormat="1" x14ac:dyDescent="0.2">
      <c r="A111" s="143"/>
      <c r="B111" s="149"/>
      <c r="C111" s="143"/>
      <c r="E111" s="152"/>
      <c r="F111" s="153"/>
    </row>
    <row r="112" spans="1:16" s="146" customFormat="1" x14ac:dyDescent="0.2">
      <c r="A112" s="143"/>
      <c r="B112" s="149"/>
      <c r="C112" s="143"/>
      <c r="E112" s="152"/>
      <c r="F112" s="153"/>
    </row>
    <row r="113" spans="1:6" s="146" customFormat="1" x14ac:dyDescent="0.2">
      <c r="A113" s="143"/>
      <c r="B113" s="149"/>
      <c r="C113" s="143"/>
      <c r="E113" s="152"/>
      <c r="F113" s="153"/>
    </row>
    <row r="114" spans="1:6" s="146" customFormat="1" x14ac:dyDescent="0.2">
      <c r="A114" s="143"/>
      <c r="B114" s="149"/>
      <c r="C114" s="143"/>
      <c r="E114" s="152"/>
      <c r="F114" s="153"/>
    </row>
    <row r="115" spans="1:6" s="146" customFormat="1" x14ac:dyDescent="0.2">
      <c r="A115" s="143"/>
      <c r="B115" s="149"/>
      <c r="C115" s="143"/>
      <c r="E115" s="152"/>
      <c r="F115" s="153"/>
    </row>
    <row r="116" spans="1:6" s="146" customFormat="1" x14ac:dyDescent="0.2">
      <c r="A116" s="143"/>
      <c r="B116" s="149"/>
      <c r="C116" s="143"/>
      <c r="E116" s="152"/>
      <c r="F116" s="153"/>
    </row>
    <row r="117" spans="1:6" s="146" customFormat="1" x14ac:dyDescent="0.2">
      <c r="A117" s="143"/>
      <c r="B117" s="149"/>
      <c r="C117" s="143"/>
      <c r="E117" s="152"/>
      <c r="F117" s="153"/>
    </row>
    <row r="118" spans="1:6" s="146" customFormat="1" x14ac:dyDescent="0.2">
      <c r="A118" s="143"/>
      <c r="B118" s="149"/>
      <c r="C118" s="143"/>
      <c r="E118" s="152"/>
      <c r="F118" s="153"/>
    </row>
    <row r="119" spans="1:6" s="146" customFormat="1" x14ac:dyDescent="0.2">
      <c r="A119" s="143"/>
      <c r="B119" s="149"/>
      <c r="C119" s="143"/>
      <c r="D119" s="152"/>
      <c r="E119" s="152"/>
      <c r="F119" s="153"/>
    </row>
    <row r="120" spans="1:6" s="146" customFormat="1" x14ac:dyDescent="0.2">
      <c r="A120" s="143"/>
      <c r="B120" s="149"/>
      <c r="C120" s="143"/>
    </row>
    <row r="121" spans="1:6" s="146" customFormat="1" x14ac:dyDescent="0.2">
      <c r="A121" s="143"/>
      <c r="B121" s="149"/>
      <c r="C121" s="143"/>
    </row>
    <row r="122" spans="1:6" s="146" customFormat="1" x14ac:dyDescent="0.2">
      <c r="A122" s="143"/>
      <c r="B122" s="149"/>
      <c r="C122" s="143"/>
    </row>
    <row r="123" spans="1:6" s="146" customFormat="1" x14ac:dyDescent="0.2">
      <c r="A123" s="143"/>
      <c r="B123" s="149"/>
      <c r="C123" s="143"/>
    </row>
    <row r="124" spans="1:6" s="146" customFormat="1" x14ac:dyDescent="0.2">
      <c r="A124" s="143"/>
      <c r="B124" s="149"/>
      <c r="C124" s="143"/>
    </row>
    <row r="125" spans="1:6" s="146" customFormat="1" x14ac:dyDescent="0.2">
      <c r="A125" s="143"/>
      <c r="B125" s="149"/>
      <c r="C125" s="143"/>
    </row>
    <row r="126" spans="1:6" s="146" customFormat="1" x14ac:dyDescent="0.2">
      <c r="A126" s="143"/>
      <c r="B126" s="149"/>
      <c r="C126" s="143"/>
    </row>
    <row r="127" spans="1:6" s="146" customFormat="1" x14ac:dyDescent="0.2">
      <c r="A127" s="143"/>
      <c r="B127" s="149"/>
      <c r="C127" s="143"/>
    </row>
    <row r="128" spans="1:6" s="146" customFormat="1" x14ac:dyDescent="0.2">
      <c r="A128" s="143"/>
      <c r="B128" s="149"/>
      <c r="C128" s="143"/>
      <c r="D128" s="152"/>
      <c r="E128" s="152"/>
      <c r="F128" s="152"/>
    </row>
    <row r="129" spans="1:6" s="146" customFormat="1" x14ac:dyDescent="0.2">
      <c r="A129" s="143"/>
      <c r="B129" s="149"/>
      <c r="C129" s="143"/>
      <c r="D129" s="152"/>
      <c r="E129" s="152"/>
      <c r="F129" s="152"/>
    </row>
    <row r="130" spans="1:6" s="146" customFormat="1" x14ac:dyDescent="0.2">
      <c r="A130" s="143"/>
      <c r="B130" s="149"/>
      <c r="C130" s="143"/>
      <c r="D130" s="152"/>
      <c r="E130" s="152"/>
      <c r="F130" s="152"/>
    </row>
    <row r="131" spans="1:6" s="146" customFormat="1" x14ac:dyDescent="0.2">
      <c r="A131" s="143"/>
      <c r="B131" s="149"/>
      <c r="C131" s="143"/>
      <c r="D131" s="152"/>
      <c r="E131" s="152"/>
      <c r="F131" s="152"/>
    </row>
    <row r="132" spans="1:6" s="146" customFormat="1" x14ac:dyDescent="0.2">
      <c r="A132" s="143"/>
      <c r="B132" s="149"/>
      <c r="C132" s="143"/>
      <c r="D132" s="152"/>
      <c r="E132" s="152"/>
      <c r="F132" s="152"/>
    </row>
    <row r="133" spans="1:6" s="146" customFormat="1" x14ac:dyDescent="0.2">
      <c r="A133" s="143"/>
      <c r="B133" s="149"/>
      <c r="C133" s="143"/>
      <c r="D133" s="152"/>
      <c r="E133" s="152"/>
      <c r="F133" s="152"/>
    </row>
    <row r="134" spans="1:6" s="146" customFormat="1" x14ac:dyDescent="0.2">
      <c r="A134" s="143"/>
      <c r="B134" s="149"/>
      <c r="C134" s="143"/>
      <c r="D134" s="152"/>
      <c r="E134" s="152"/>
      <c r="F134" s="152"/>
    </row>
    <row r="135" spans="1:6" s="146" customFormat="1" x14ac:dyDescent="0.2">
      <c r="A135" s="143"/>
      <c r="B135" s="149"/>
      <c r="C135" s="143"/>
      <c r="D135" s="152"/>
      <c r="E135" s="152"/>
      <c r="F135" s="152"/>
    </row>
    <row r="136" spans="1:6" s="146" customFormat="1" x14ac:dyDescent="0.2">
      <c r="A136" s="143"/>
      <c r="C136" s="143"/>
      <c r="D136" s="152"/>
      <c r="E136" s="152"/>
      <c r="F136" s="152"/>
    </row>
    <row r="137" spans="1:6" s="146" customFormat="1" x14ac:dyDescent="0.2">
      <c r="A137" s="143"/>
      <c r="C137" s="143"/>
      <c r="D137" s="152"/>
      <c r="E137" s="152"/>
      <c r="F137" s="152"/>
    </row>
    <row r="138" spans="1:6" s="146" customFormat="1" x14ac:dyDescent="0.2">
      <c r="A138" s="143"/>
      <c r="C138" s="143"/>
      <c r="D138" s="152"/>
      <c r="E138" s="152"/>
      <c r="F138" s="152"/>
    </row>
    <row r="139" spans="1:6" s="146" customFormat="1" x14ac:dyDescent="0.2">
      <c r="A139" s="143"/>
      <c r="C139" s="143"/>
      <c r="D139" s="152"/>
      <c r="E139" s="152"/>
      <c r="F139" s="152"/>
    </row>
    <row r="140" spans="1:6" s="146" customFormat="1" x14ac:dyDescent="0.2">
      <c r="A140" s="143"/>
      <c r="C140" s="143"/>
      <c r="D140" s="152"/>
      <c r="E140" s="152"/>
      <c r="F140" s="152"/>
    </row>
    <row r="141" spans="1:6" s="146" customFormat="1" x14ac:dyDescent="0.2">
      <c r="A141" s="143"/>
      <c r="C141" s="143"/>
      <c r="D141" s="152"/>
      <c r="E141" s="152"/>
      <c r="F141" s="152"/>
    </row>
    <row r="142" spans="1:6" s="146" customFormat="1" x14ac:dyDescent="0.2">
      <c r="A142" s="143"/>
      <c r="C142" s="143"/>
      <c r="D142" s="152"/>
      <c r="E142" s="152"/>
      <c r="F142" s="152"/>
    </row>
    <row r="143" spans="1:6" s="146" customFormat="1" x14ac:dyDescent="0.2">
      <c r="A143" s="143"/>
      <c r="C143" s="143"/>
      <c r="D143" s="152"/>
      <c r="E143" s="152"/>
      <c r="F143" s="152"/>
    </row>
    <row r="144" spans="1:6" s="146" customFormat="1" x14ac:dyDescent="0.2">
      <c r="A144" s="143"/>
      <c r="C144" s="143"/>
      <c r="D144" s="152"/>
      <c r="E144" s="152"/>
      <c r="F144" s="152"/>
    </row>
    <row r="145" spans="1:12" s="146" customFormat="1" x14ac:dyDescent="0.2">
      <c r="A145" s="143"/>
      <c r="C145" s="143"/>
      <c r="D145" s="152"/>
      <c r="E145" s="152"/>
      <c r="F145" s="152"/>
    </row>
    <row r="146" spans="1:12" s="146" customFormat="1" x14ac:dyDescent="0.2">
      <c r="A146" s="143"/>
      <c r="C146" s="143"/>
      <c r="D146" s="152"/>
      <c r="E146" s="152"/>
      <c r="F146" s="152"/>
    </row>
    <row r="147" spans="1:12" x14ac:dyDescent="0.2">
      <c r="A147" s="143"/>
      <c r="B147" s="146"/>
      <c r="C147" s="143"/>
      <c r="D147" s="152"/>
      <c r="E147" s="152"/>
      <c r="F147" s="152"/>
      <c r="G147" s="146"/>
      <c r="H147" s="146"/>
      <c r="I147" s="146"/>
      <c r="J147" s="146"/>
      <c r="K147" s="146"/>
      <c r="L147" s="146"/>
    </row>
    <row r="148" spans="1:12" x14ac:dyDescent="0.2">
      <c r="D148" s="5"/>
      <c r="E148" s="5"/>
      <c r="F148" s="5"/>
    </row>
    <row r="149" spans="1:12" x14ac:dyDescent="0.2">
      <c r="D149" s="5"/>
      <c r="E149" s="5"/>
      <c r="F149" s="5"/>
    </row>
    <row r="150" spans="1:12" x14ac:dyDescent="0.2">
      <c r="D150" s="5"/>
      <c r="E150" s="5"/>
      <c r="F150" s="5"/>
    </row>
    <row r="151" spans="1:12" x14ac:dyDescent="0.2">
      <c r="D151" s="5"/>
      <c r="E151" s="5"/>
      <c r="F151" s="5"/>
    </row>
    <row r="152" spans="1:12" x14ac:dyDescent="0.2">
      <c r="D152" s="5"/>
      <c r="E152" s="5"/>
      <c r="F152" s="5"/>
    </row>
    <row r="153" spans="1:12" x14ac:dyDescent="0.2">
      <c r="D153" s="5"/>
      <c r="E153" s="5"/>
      <c r="F153" s="5"/>
    </row>
    <row r="154" spans="1:12" x14ac:dyDescent="0.2">
      <c r="D154" s="5"/>
      <c r="E154" s="5"/>
      <c r="F154" s="5"/>
    </row>
    <row r="155" spans="1:12" x14ac:dyDescent="0.2">
      <c r="D155" s="5"/>
      <c r="E155" s="5"/>
      <c r="F155" s="5"/>
    </row>
    <row r="156" spans="1:12" x14ac:dyDescent="0.2">
      <c r="D156" s="5"/>
      <c r="E156" s="5"/>
      <c r="F156" s="5"/>
    </row>
    <row r="157" spans="1:12" x14ac:dyDescent="0.2">
      <c r="D157" s="5"/>
      <c r="E157" s="5"/>
      <c r="F157" s="5"/>
    </row>
    <row r="158" spans="1:12" x14ac:dyDescent="0.2">
      <c r="D158" s="5"/>
      <c r="E158" s="5"/>
      <c r="F158" s="5"/>
    </row>
    <row r="159" spans="1:12" x14ac:dyDescent="0.2">
      <c r="D159" s="5"/>
      <c r="E159" s="5"/>
      <c r="F159" s="5"/>
    </row>
    <row r="160" spans="1:12" x14ac:dyDescent="0.2">
      <c r="D160" s="5"/>
      <c r="E160" s="5"/>
      <c r="F160" s="5"/>
    </row>
    <row r="161" spans="4:6" x14ac:dyDescent="0.2">
      <c r="D161" s="5"/>
      <c r="E161" s="5"/>
      <c r="F161" s="5"/>
    </row>
    <row r="162" spans="4:6" x14ac:dyDescent="0.2">
      <c r="D162" s="5"/>
      <c r="E162" s="5"/>
      <c r="F162" s="5"/>
    </row>
    <row r="163" spans="4:6" x14ac:dyDescent="0.2">
      <c r="D163" s="5"/>
      <c r="E163" s="5"/>
      <c r="F163" s="5"/>
    </row>
    <row r="164" spans="4:6" x14ac:dyDescent="0.2">
      <c r="D164" s="5"/>
      <c r="E164" s="5"/>
      <c r="F164" s="5"/>
    </row>
    <row r="165" spans="4:6" x14ac:dyDescent="0.2">
      <c r="D165" s="5"/>
      <c r="E165" s="5"/>
      <c r="F165" s="5"/>
    </row>
    <row r="166" spans="4:6" x14ac:dyDescent="0.2">
      <c r="D166" s="5"/>
      <c r="E166" s="5"/>
      <c r="F166" s="5"/>
    </row>
    <row r="167" spans="4:6" x14ac:dyDescent="0.2">
      <c r="F167" s="5"/>
    </row>
    <row r="168" spans="4:6" x14ac:dyDescent="0.2">
      <c r="D168" s="5"/>
      <c r="E168" s="5"/>
      <c r="F168" s="5"/>
    </row>
    <row r="169" spans="4:6" x14ac:dyDescent="0.2">
      <c r="D169" s="5"/>
      <c r="E169" s="5"/>
      <c r="F169" s="5"/>
    </row>
    <row r="170" spans="4:6" x14ac:dyDescent="0.2">
      <c r="D170" s="5"/>
      <c r="E170" s="5"/>
      <c r="F170" s="5"/>
    </row>
    <row r="171" spans="4:6" x14ac:dyDescent="0.2">
      <c r="D171" s="8"/>
      <c r="E171" s="8"/>
      <c r="F171" s="8"/>
    </row>
  </sheetData>
  <sheetProtection algorithmName="SHA-512" hashValue="xETFAkLbtKgu+FszJ8uUFKcaFOtXiy3Cd1z4Ae/D5rHzApfW4YvFvgY5ZvTbwoq+uwgL0WaDPFmM43h1DETi7g==" saltValue="QDVYb71krlEJr7h+FmDRFQ==" spinCount="100000" sheet="1" objects="1" scenarios="1"/>
  <phoneticPr fontId="0" type="noConversion"/>
  <printOptions horizontalCentered="1" gridLinesSet="0"/>
  <pageMargins left="0" right="0" top="0.25" bottom="0.25" header="0.5" footer="0.5"/>
  <pageSetup scale="60" fitToHeight="2" orientation="portrait" horizontalDpi="300" vertic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PrintSSI">
                <anchor moveWithCells="1" sizeWithCells="1">
                  <from>
                    <xdr:col>16</xdr:col>
                    <xdr:colOff>0</xdr:colOff>
                    <xdr:row>0</xdr:row>
                    <xdr:rowOff>0</xdr:rowOff>
                  </from>
                  <to>
                    <xdr:col>16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A55"/>
  <sheetViews>
    <sheetView tabSelected="1" zoomScale="110" zoomScaleNormal="11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10" sqref="G10"/>
    </sheetView>
  </sheetViews>
  <sheetFormatPr defaultColWidth="8.88671875" defaultRowHeight="12.75" x14ac:dyDescent="0.2"/>
  <cols>
    <col min="1" max="1" width="8.88671875" style="65"/>
    <col min="2" max="2" width="21.6640625" style="65" customWidth="1"/>
    <col min="3" max="14" width="8.88671875" style="65"/>
    <col min="15" max="15" width="11.109375" style="65" customWidth="1"/>
    <col min="16" max="16" width="8.88671875" style="65"/>
    <col min="17" max="17" width="11.44140625" style="65" customWidth="1"/>
    <col min="18" max="19" width="8.88671875" style="65"/>
    <col min="20" max="20" width="21.44140625" style="65" customWidth="1"/>
    <col min="21" max="21" width="10.88671875" style="65" customWidth="1"/>
    <col min="22" max="22" width="10.44140625" style="65" customWidth="1"/>
    <col min="23" max="23" width="9.88671875" style="65" customWidth="1"/>
    <col min="24" max="26" width="8.88671875" style="65"/>
    <col min="27" max="27" width="11" style="65" customWidth="1"/>
    <col min="28" max="16384" width="8.88671875" style="65"/>
  </cols>
  <sheetData>
    <row r="3" spans="2:23" x14ac:dyDescent="0.2">
      <c r="B3" s="67" t="s">
        <v>145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2:23" x14ac:dyDescent="0.2">
      <c r="B4" s="67" t="s">
        <v>146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23" x14ac:dyDescent="0.2">
      <c r="B5" s="2" t="s">
        <v>262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8" spans="2:23" x14ac:dyDescent="0.2">
      <c r="B8" s="65" t="s">
        <v>147</v>
      </c>
    </row>
    <row r="9" spans="2:23" ht="15.75" x14ac:dyDescent="0.25">
      <c r="P9" s="68" t="s">
        <v>148</v>
      </c>
      <c r="Q9" s="69">
        <v>4</v>
      </c>
    </row>
    <row r="10" spans="2:23" ht="15.75" x14ac:dyDescent="0.25">
      <c r="C10" s="66" t="s">
        <v>1</v>
      </c>
      <c r="D10" s="66" t="s">
        <v>2</v>
      </c>
      <c r="E10" s="66" t="s">
        <v>3</v>
      </c>
      <c r="F10" s="66" t="s">
        <v>4</v>
      </c>
      <c r="G10" s="66" t="s">
        <v>5</v>
      </c>
      <c r="H10" s="66" t="s">
        <v>6</v>
      </c>
      <c r="I10" s="66" t="s">
        <v>7</v>
      </c>
      <c r="J10" s="66" t="s">
        <v>8</v>
      </c>
      <c r="K10" s="66" t="s">
        <v>9</v>
      </c>
      <c r="L10" s="66" t="s">
        <v>10</v>
      </c>
      <c r="M10" s="66" t="s">
        <v>11</v>
      </c>
      <c r="N10" s="66" t="s">
        <v>12</v>
      </c>
      <c r="O10" s="16" t="s">
        <v>118</v>
      </c>
      <c r="Q10" s="84"/>
      <c r="R10" s="84"/>
      <c r="S10" s="84"/>
      <c r="T10"/>
    </row>
    <row r="11" spans="2:23" x14ac:dyDescent="0.2">
      <c r="B11" s="19" t="s">
        <v>149</v>
      </c>
      <c r="C11" s="61">
        <v>161</v>
      </c>
      <c r="D11" s="61">
        <v>162</v>
      </c>
      <c r="E11" s="61">
        <v>163</v>
      </c>
      <c r="F11" s="61">
        <v>155</v>
      </c>
      <c r="G11" s="61"/>
      <c r="H11" s="61"/>
      <c r="I11" s="61"/>
      <c r="J11" s="61"/>
      <c r="K11" s="61"/>
      <c r="L11" s="61"/>
      <c r="M11" s="61"/>
      <c r="N11" s="61"/>
      <c r="O11" s="61">
        <f>SUM(C11:N11)/Q$9</f>
        <v>160.25</v>
      </c>
      <c r="Q11" s="85"/>
      <c r="R11" s="85"/>
      <c r="S11" s="85"/>
      <c r="U11" s="67"/>
      <c r="V11" s="67"/>
      <c r="W11" s="67"/>
    </row>
    <row r="12" spans="2:23" x14ac:dyDescent="0.2">
      <c r="B12" s="19" t="s">
        <v>150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f>SUM(C12:N12)/Q$9</f>
        <v>0</v>
      </c>
      <c r="Q12" s="86"/>
      <c r="R12" s="85"/>
      <c r="S12" s="85"/>
      <c r="U12" s="67"/>
      <c r="V12" s="67"/>
      <c r="W12" s="67"/>
    </row>
    <row r="13" spans="2:23" x14ac:dyDescent="0.2">
      <c r="B13" s="19" t="s">
        <v>151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>
        <f>SUM(C13:N13)/Q$9</f>
        <v>0</v>
      </c>
      <c r="Q13" s="86"/>
      <c r="R13" s="85"/>
      <c r="S13" s="85"/>
      <c r="U13" s="67"/>
      <c r="V13" s="67"/>
      <c r="W13" s="67"/>
    </row>
    <row r="14" spans="2:23" ht="15.75" customHeight="1" x14ac:dyDescent="0.2">
      <c r="B14" s="19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Q14" s="87"/>
      <c r="R14" s="87"/>
      <c r="S14" s="87"/>
    </row>
    <row r="15" spans="2:23" ht="13.5" thickBot="1" x14ac:dyDescent="0.25">
      <c r="C15" s="70">
        <f>SUM(C11:C13)</f>
        <v>161</v>
      </c>
      <c r="D15" s="70">
        <f>SUM(D11:D13)</f>
        <v>162</v>
      </c>
      <c r="E15" s="70">
        <f>SUM(E11:E13)</f>
        <v>163</v>
      </c>
      <c r="F15" s="70">
        <f t="shared" ref="F15:O15" si="0">SUM(F11:F13)</f>
        <v>155</v>
      </c>
      <c r="G15" s="70">
        <f t="shared" si="0"/>
        <v>0</v>
      </c>
      <c r="H15" s="70">
        <f t="shared" si="0"/>
        <v>0</v>
      </c>
      <c r="I15" s="70">
        <f>SUM(I11:I13)</f>
        <v>0</v>
      </c>
      <c r="J15" s="70">
        <f>SUM(J11:J13)</f>
        <v>0</v>
      </c>
      <c r="K15" s="70">
        <f>SUM(K11:K13)</f>
        <v>0</v>
      </c>
      <c r="L15" s="70">
        <f t="shared" si="0"/>
        <v>0</v>
      </c>
      <c r="M15" s="70">
        <f>SUM(M11:M13)</f>
        <v>0</v>
      </c>
      <c r="N15" s="70">
        <f t="shared" si="0"/>
        <v>0</v>
      </c>
      <c r="O15" s="70">
        <f t="shared" si="0"/>
        <v>160.25</v>
      </c>
      <c r="Q15" s="85"/>
      <c r="R15" s="85"/>
      <c r="S15" s="85"/>
    </row>
    <row r="16" spans="2:23" ht="13.5" thickTop="1" x14ac:dyDescent="0.2">
      <c r="Q16" s="87"/>
      <c r="R16" s="87"/>
      <c r="S16" s="87"/>
    </row>
    <row r="17" spans="1:27" ht="13.5" thickBot="1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27" x14ac:dyDescent="0.2">
      <c r="T18" s="88"/>
      <c r="U18" s="88"/>
      <c r="V18" s="88"/>
      <c r="W18" s="88"/>
      <c r="X18" s="88"/>
    </row>
    <row r="19" spans="1:27" x14ac:dyDescent="0.2">
      <c r="T19" s="88"/>
      <c r="U19" s="88"/>
      <c r="V19" s="88"/>
      <c r="W19" s="88"/>
      <c r="X19" s="88"/>
    </row>
    <row r="20" spans="1:27" x14ac:dyDescent="0.2">
      <c r="B20" s="67" t="s">
        <v>145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T20" s="88"/>
      <c r="U20" s="88"/>
      <c r="V20" s="88"/>
      <c r="W20" s="88"/>
      <c r="X20" s="88"/>
    </row>
    <row r="21" spans="1:27" x14ac:dyDescent="0.2">
      <c r="B21" s="67" t="s">
        <v>152</v>
      </c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T21" s="87"/>
      <c r="U21" s="87"/>
      <c r="V21" s="87"/>
      <c r="W21" s="87"/>
      <c r="X21" s="87"/>
    </row>
    <row r="22" spans="1:27" x14ac:dyDescent="0.2">
      <c r="B22" s="2" t="s">
        <v>262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T22" s="87"/>
      <c r="U22" s="87"/>
      <c r="V22" s="87"/>
      <c r="W22" s="87"/>
      <c r="X22" s="87"/>
    </row>
    <row r="23" spans="1:27" x14ac:dyDescent="0.2">
      <c r="T23" s="87"/>
      <c r="U23" s="87"/>
      <c r="V23" s="87"/>
      <c r="W23" s="87"/>
      <c r="X23" s="87"/>
    </row>
    <row r="24" spans="1:27" x14ac:dyDescent="0.2">
      <c r="T24" s="87"/>
      <c r="U24" s="89"/>
      <c r="V24" s="88"/>
      <c r="W24" s="87"/>
      <c r="X24" s="87"/>
    </row>
    <row r="25" spans="1:27" x14ac:dyDescent="0.2">
      <c r="B25" s="65" t="s">
        <v>153</v>
      </c>
      <c r="T25" s="87"/>
      <c r="U25" s="84"/>
      <c r="V25" s="84"/>
      <c r="W25" s="84"/>
      <c r="X25" s="87"/>
    </row>
    <row r="26" spans="1:27" x14ac:dyDescent="0.2">
      <c r="T26" s="87"/>
      <c r="U26" s="84"/>
      <c r="V26" s="84"/>
      <c r="W26" s="84"/>
      <c r="X26" s="84"/>
    </row>
    <row r="27" spans="1:27" x14ac:dyDescent="0.2">
      <c r="C27" s="66" t="s">
        <v>1</v>
      </c>
      <c r="D27" s="66" t="s">
        <v>2</v>
      </c>
      <c r="E27" s="66" t="s">
        <v>3</v>
      </c>
      <c r="F27" s="66" t="s">
        <v>4</v>
      </c>
      <c r="G27" s="66" t="s">
        <v>5</v>
      </c>
      <c r="H27" s="66" t="s">
        <v>6</v>
      </c>
      <c r="I27" s="66" t="s">
        <v>7</v>
      </c>
      <c r="J27" s="66" t="s">
        <v>8</v>
      </c>
      <c r="K27" s="66" t="s">
        <v>9</v>
      </c>
      <c r="L27" s="66" t="s">
        <v>10</v>
      </c>
      <c r="M27" s="66" t="s">
        <v>11</v>
      </c>
      <c r="N27" s="66" t="s">
        <v>12</v>
      </c>
      <c r="O27" s="16" t="s">
        <v>118</v>
      </c>
      <c r="T27" s="35"/>
      <c r="U27" s="85"/>
      <c r="V27" s="90"/>
      <c r="W27" s="85"/>
      <c r="X27" s="85"/>
    </row>
    <row r="28" spans="1:27" x14ac:dyDescent="0.2">
      <c r="B28" s="19" t="s">
        <v>202</v>
      </c>
      <c r="C28" s="61">
        <v>126</v>
      </c>
      <c r="D28" s="61">
        <v>125</v>
      </c>
      <c r="E28" s="61">
        <v>132</v>
      </c>
      <c r="F28" s="61">
        <v>129</v>
      </c>
      <c r="G28" s="61"/>
      <c r="H28" s="61"/>
      <c r="I28" s="61"/>
      <c r="J28" s="61"/>
      <c r="K28" s="61"/>
      <c r="L28" s="61"/>
      <c r="M28" s="61"/>
      <c r="N28" s="61"/>
      <c r="O28" s="61">
        <f t="shared" ref="O28:O36" si="1">SUM(C28:N28)/Q$9</f>
        <v>128</v>
      </c>
      <c r="T28" s="35"/>
      <c r="U28" s="86"/>
      <c r="V28" s="90"/>
      <c r="W28" s="85"/>
      <c r="X28" s="85"/>
    </row>
    <row r="29" spans="1:27" x14ac:dyDescent="0.2">
      <c r="B29" s="19" t="s">
        <v>154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f t="shared" si="1"/>
        <v>0</v>
      </c>
      <c r="T29" s="35"/>
      <c r="U29" s="86"/>
      <c r="V29" s="90"/>
      <c r="W29" s="85"/>
      <c r="X29" s="85"/>
    </row>
    <row r="30" spans="1:27" x14ac:dyDescent="0.2">
      <c r="B30" s="19" t="s">
        <v>155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>
        <f t="shared" si="1"/>
        <v>0</v>
      </c>
      <c r="T30" s="35"/>
      <c r="U30" s="86"/>
      <c r="V30" s="90"/>
      <c r="W30" s="85"/>
      <c r="X30" s="85"/>
    </row>
    <row r="31" spans="1:27" x14ac:dyDescent="0.2">
      <c r="B31" s="19" t="s">
        <v>156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>
        <f t="shared" si="1"/>
        <v>0</v>
      </c>
      <c r="T31" s="35"/>
      <c r="U31" s="86"/>
      <c r="V31" s="90"/>
      <c r="W31" s="85"/>
      <c r="X31" s="85"/>
      <c r="Z31" s="87"/>
      <c r="AA31" s="87"/>
    </row>
    <row r="32" spans="1:27" x14ac:dyDescent="0.2">
      <c r="B32" s="19" t="s">
        <v>157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>
        <f t="shared" si="1"/>
        <v>0</v>
      </c>
      <c r="T32" s="35"/>
      <c r="U32" s="86"/>
      <c r="V32" s="90"/>
      <c r="W32" s="85"/>
      <c r="X32" s="85"/>
      <c r="Z32" s="84"/>
      <c r="AA32" s="84"/>
    </row>
    <row r="33" spans="2:27" x14ac:dyDescent="0.2">
      <c r="B33" s="19" t="s">
        <v>158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>
        <f t="shared" si="1"/>
        <v>0</v>
      </c>
      <c r="T33" s="35"/>
      <c r="U33" s="86"/>
      <c r="V33" s="90"/>
      <c r="W33" s="85"/>
      <c r="X33" s="85"/>
      <c r="Z33" s="84"/>
      <c r="AA33" s="84"/>
    </row>
    <row r="34" spans="2:27" ht="13.5" customHeight="1" x14ac:dyDescent="0.2">
      <c r="B34" s="19" t="s">
        <v>161</v>
      </c>
      <c r="C34" s="61">
        <v>2</v>
      </c>
      <c r="D34" s="61">
        <v>2</v>
      </c>
      <c r="E34" s="61">
        <v>2</v>
      </c>
      <c r="F34" s="61">
        <v>3</v>
      </c>
      <c r="G34" s="61"/>
      <c r="H34" s="61"/>
      <c r="I34" s="61"/>
      <c r="J34" s="61"/>
      <c r="K34" s="61"/>
      <c r="L34" s="61"/>
      <c r="M34" s="61"/>
      <c r="N34" s="61"/>
      <c r="O34" s="61">
        <f t="shared" si="1"/>
        <v>2.25</v>
      </c>
      <c r="T34" s="87"/>
      <c r="U34" s="91"/>
      <c r="V34" s="90"/>
      <c r="W34" s="85"/>
      <c r="X34" s="85"/>
      <c r="Z34" s="90"/>
      <c r="AA34" s="86"/>
    </row>
    <row r="35" spans="2:27" ht="13.5" customHeight="1" x14ac:dyDescent="0.2">
      <c r="B35" s="19" t="s">
        <v>189</v>
      </c>
      <c r="C35" s="61">
        <v>53</v>
      </c>
      <c r="D35" s="61">
        <v>71</v>
      </c>
      <c r="E35" s="61">
        <v>67</v>
      </c>
      <c r="F35" s="61">
        <v>61</v>
      </c>
      <c r="G35" s="61"/>
      <c r="H35" s="61"/>
      <c r="I35" s="61"/>
      <c r="J35" s="61"/>
      <c r="K35" s="61"/>
      <c r="L35" s="61"/>
      <c r="M35" s="61"/>
      <c r="N35" s="61"/>
      <c r="O35" s="61">
        <f t="shared" si="1"/>
        <v>63</v>
      </c>
      <c r="T35" s="87"/>
      <c r="U35" s="91"/>
      <c r="V35" s="90"/>
      <c r="W35" s="85"/>
      <c r="X35" s="85"/>
      <c r="Z35" s="90"/>
      <c r="AA35" s="86"/>
    </row>
    <row r="36" spans="2:27" ht="13.5" customHeight="1" x14ac:dyDescent="0.2">
      <c r="B36" s="19" t="s">
        <v>196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>
        <f t="shared" si="1"/>
        <v>0</v>
      </c>
      <c r="T36" s="87"/>
      <c r="U36" s="91"/>
      <c r="V36" s="90"/>
      <c r="W36" s="85"/>
      <c r="X36" s="85"/>
      <c r="Z36" s="90"/>
      <c r="AA36" s="86"/>
    </row>
    <row r="37" spans="2:27" ht="16.5" thickBot="1" x14ac:dyDescent="0.3">
      <c r="C37" s="70">
        <f t="shared" ref="C37:O37" si="2">SUM(C27:C36)</f>
        <v>181</v>
      </c>
      <c r="D37" s="70">
        <f t="shared" si="2"/>
        <v>198</v>
      </c>
      <c r="E37" s="70">
        <f t="shared" si="2"/>
        <v>201</v>
      </c>
      <c r="F37" s="70">
        <f t="shared" si="2"/>
        <v>193</v>
      </c>
      <c r="G37" s="70">
        <f>SUM(G27:G36)</f>
        <v>0</v>
      </c>
      <c r="H37" s="70">
        <f t="shared" si="2"/>
        <v>0</v>
      </c>
      <c r="I37" s="70">
        <f>SUM(I28:I36)</f>
        <v>0</v>
      </c>
      <c r="J37" s="70">
        <f>SUM(J28:J36)</f>
        <v>0</v>
      </c>
      <c r="K37" s="70">
        <f>SUM(K28:K36)</f>
        <v>0</v>
      </c>
      <c r="L37" s="70">
        <f t="shared" si="2"/>
        <v>0</v>
      </c>
      <c r="M37" s="70">
        <f>SUM(M27:M36)</f>
        <v>0</v>
      </c>
      <c r="N37" s="70">
        <f t="shared" si="2"/>
        <v>0</v>
      </c>
      <c r="O37" s="70">
        <f t="shared" si="2"/>
        <v>193.25</v>
      </c>
      <c r="T37" s="17"/>
      <c r="U37" s="17"/>
      <c r="V37" s="17"/>
      <c r="W37" s="17"/>
      <c r="X37" s="87"/>
    </row>
    <row r="38" spans="2:27" ht="13.5" thickTop="1" x14ac:dyDescent="0.2">
      <c r="T38" s="92"/>
      <c r="U38" s="85"/>
      <c r="V38" s="90"/>
      <c r="W38" s="85"/>
      <c r="X38" s="85"/>
    </row>
    <row r="39" spans="2:27" ht="15.75" x14ac:dyDescent="0.25">
      <c r="T39" s="87"/>
      <c r="U39" s="17"/>
      <c r="V39" s="17"/>
      <c r="W39" s="17"/>
      <c r="X39" s="87"/>
    </row>
    <row r="40" spans="2:27" ht="18" x14ac:dyDescent="0.25">
      <c r="B40" s="118" t="s">
        <v>180</v>
      </c>
      <c r="C40" s="67"/>
      <c r="D40" s="67"/>
      <c r="E40" s="67"/>
      <c r="T40" s="87"/>
      <c r="U40" s="87"/>
      <c r="V40" s="87"/>
      <c r="W40" s="87"/>
      <c r="X40" s="87"/>
    </row>
    <row r="41" spans="2:27" x14ac:dyDescent="0.2">
      <c r="B41" s="22"/>
      <c r="C41" s="67"/>
      <c r="D41" s="67"/>
      <c r="E41" s="67"/>
      <c r="T41" s="87"/>
      <c r="U41" s="87"/>
      <c r="V41" s="87"/>
      <c r="W41" s="87"/>
      <c r="X41" s="87"/>
    </row>
    <row r="42" spans="2:27" x14ac:dyDescent="0.2">
      <c r="B42" s="22"/>
      <c r="C42" s="67"/>
      <c r="D42" s="67"/>
      <c r="E42" s="67"/>
      <c r="T42" s="87"/>
      <c r="U42" s="87"/>
      <c r="V42" s="87"/>
      <c r="W42" s="87"/>
      <c r="X42" s="87"/>
    </row>
    <row r="43" spans="2:27" x14ac:dyDescent="0.2">
      <c r="B43" s="61"/>
      <c r="T43" s="175"/>
      <c r="U43" s="175"/>
      <c r="V43" s="87"/>
      <c r="W43" s="87"/>
      <c r="X43" s="87"/>
    </row>
    <row r="44" spans="2:27" ht="13.5" customHeight="1" x14ac:dyDescent="0.2">
      <c r="B44" s="61"/>
      <c r="T44" s="87"/>
      <c r="U44" s="84"/>
      <c r="V44" s="87"/>
      <c r="W44" s="87"/>
      <c r="X44" s="87"/>
    </row>
    <row r="45" spans="2:27" ht="13.5" customHeight="1" x14ac:dyDescent="0.25">
      <c r="B45" s="22"/>
      <c r="C45"/>
      <c r="D45"/>
      <c r="E45"/>
      <c r="T45" s="35"/>
      <c r="U45" s="85"/>
      <c r="V45" s="87"/>
      <c r="W45" s="87"/>
      <c r="X45" s="87"/>
    </row>
    <row r="46" spans="2:27" ht="13.5" customHeight="1" x14ac:dyDescent="0.25">
      <c r="B46" s="95"/>
      <c r="C46"/>
      <c r="D46"/>
      <c r="E46"/>
      <c r="T46" s="35"/>
      <c r="U46" s="86"/>
      <c r="V46" s="87"/>
      <c r="W46" s="87"/>
      <c r="X46" s="87"/>
    </row>
    <row r="47" spans="2:27" ht="13.5" customHeight="1" x14ac:dyDescent="0.25">
      <c r="B47"/>
      <c r="C47"/>
      <c r="D47"/>
      <c r="E47"/>
      <c r="T47" s="35"/>
      <c r="U47" s="86"/>
      <c r="V47" s="87"/>
      <c r="W47" s="87"/>
      <c r="X47" s="87"/>
    </row>
    <row r="48" spans="2:27" ht="13.5" customHeight="1" x14ac:dyDescent="0.25">
      <c r="B48" s="22"/>
      <c r="C48"/>
      <c r="D48"/>
      <c r="E48"/>
      <c r="T48" s="35"/>
      <c r="U48" s="86"/>
      <c r="V48" s="87"/>
      <c r="W48" s="87"/>
      <c r="X48" s="87"/>
    </row>
    <row r="49" spans="2:24" ht="13.5" customHeight="1" x14ac:dyDescent="0.25">
      <c r="B49" s="22"/>
      <c r="C49"/>
      <c r="D49"/>
      <c r="E49"/>
      <c r="T49" s="35"/>
      <c r="U49" s="86"/>
      <c r="V49" s="87"/>
      <c r="W49" s="87"/>
      <c r="X49" s="87"/>
    </row>
    <row r="50" spans="2:24" ht="13.5" customHeight="1" x14ac:dyDescent="0.25">
      <c r="B50" s="22"/>
      <c r="C50"/>
      <c r="D50"/>
      <c r="E50"/>
      <c r="T50" s="35"/>
      <c r="U50" s="86"/>
      <c r="V50" s="87"/>
      <c r="W50" s="87"/>
      <c r="X50" s="87"/>
    </row>
    <row r="51" spans="2:24" ht="13.5" customHeight="1" x14ac:dyDescent="0.25">
      <c r="B51"/>
      <c r="C51"/>
      <c r="D51"/>
      <c r="E51"/>
      <c r="T51" s="35"/>
      <c r="U51" s="86"/>
      <c r="V51" s="87"/>
      <c r="W51" s="87"/>
      <c r="X51" s="87"/>
    </row>
    <row r="52" spans="2:24" ht="13.5" customHeight="1" x14ac:dyDescent="0.25">
      <c r="B52" s="22"/>
      <c r="C52"/>
      <c r="D52"/>
      <c r="E52"/>
      <c r="T52" s="87"/>
      <c r="U52" s="91"/>
      <c r="V52" s="87"/>
      <c r="W52" s="87"/>
      <c r="X52" s="87"/>
    </row>
    <row r="53" spans="2:24" ht="15.75" x14ac:dyDescent="0.25">
      <c r="B53" s="22"/>
      <c r="C53"/>
      <c r="D53"/>
      <c r="E53"/>
      <c r="T53" s="87"/>
      <c r="U53" s="87"/>
      <c r="V53" s="87"/>
      <c r="W53" s="87"/>
      <c r="X53" s="87"/>
    </row>
    <row r="54" spans="2:24" x14ac:dyDescent="0.2">
      <c r="B54" s="95"/>
      <c r="T54" s="87"/>
      <c r="U54" s="93"/>
      <c r="V54" s="87"/>
      <c r="W54" s="87"/>
      <c r="X54" s="87"/>
    </row>
    <row r="55" spans="2:24" x14ac:dyDescent="0.2">
      <c r="T55" s="87"/>
      <c r="U55" s="87"/>
      <c r="V55" s="87"/>
      <c r="W55" s="87"/>
      <c r="X55" s="87"/>
    </row>
  </sheetData>
  <sheetProtection algorithmName="SHA-512" hashValue="6yJJmwpwwHviqV1pDCElZfWM5Qsl/A+CIskbshebcPDeklRENdrZK044G05Uv6vLMwuFWWru+3uThEyJsjqCZA==" saltValue="k8vCQKTBR7jT60qcrmN4LQ==" spinCount="100000" sheet="1" objects="1" scenarios="1"/>
  <mergeCells count="1">
    <mergeCell ref="T43:U43"/>
  </mergeCells>
  <phoneticPr fontId="0" type="noConversion"/>
  <printOptions horizontalCentered="1"/>
  <pageMargins left="0.75" right="0.75" top="1.5" bottom="1" header="0.5" footer="0.5"/>
  <pageSetup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IHWP Summary</vt:lpstr>
      <vt:lpstr>SUMMARY 22</vt:lpstr>
      <vt:lpstr>22</vt:lpstr>
      <vt:lpstr>TXIXEXP_TXXICHILDREN</vt:lpstr>
      <vt:lpstr>_No_Mths.</vt:lpstr>
      <vt:lpstr>'22'!Print_Area</vt:lpstr>
      <vt:lpstr>'SUMMARY 22'!Print_Area</vt:lpstr>
      <vt:lpstr>TXIXEXP_TXXICHILDREN!Print_Area</vt:lpstr>
      <vt:lpstr>'SUMMARY 22'!Print_Area_MI</vt:lpstr>
      <vt:lpstr>Print_Area_MI</vt:lpstr>
      <vt:lpstr>'22'!Print_Titles</vt:lpstr>
      <vt:lpstr>'SUMMARY 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Havig, Joe B</dc:creator>
  <cp:lastModifiedBy>Miller, Shannon</cp:lastModifiedBy>
  <cp:lastPrinted>2015-04-03T16:27:37Z</cp:lastPrinted>
  <dcterms:created xsi:type="dcterms:W3CDTF">2000-03-06T15:07:58Z</dcterms:created>
  <dcterms:modified xsi:type="dcterms:W3CDTF">2021-11-16T22:12:47Z</dcterms:modified>
</cp:coreProperties>
</file>