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mc:AlternateContent xmlns:mc="http://schemas.openxmlformats.org/markup-compatibility/2006">
    <mc:Choice Requires="x15">
      <x15ac:absPath xmlns:x15ac="http://schemas.microsoft.com/office/spreadsheetml/2010/11/ac" url="M:\My Drive\Warehousing RFP\2025-2026\draft\"/>
    </mc:Choice>
  </mc:AlternateContent>
  <xr:revisionPtr revIDLastSave="0" documentId="13_ncr:1_{4CDDC71A-05CF-40F8-A52E-2953F3E5BA1D}" xr6:coauthVersionLast="36" xr6:coauthVersionMax="36" xr10:uidLastSave="{00000000-0000-0000-0000-000000000000}"/>
  <bookViews>
    <workbookView xWindow="0" yWindow="0" windowWidth="23040" windowHeight="9020" tabRatio="850" xr2:uid="{00000000-000D-0000-FFFF-FFFF00000000}"/>
  </bookViews>
  <sheets>
    <sheet name="Instructions" sheetId="19" r:id="rId1"/>
    <sheet name="Beef" sheetId="6" r:id="rId2"/>
    <sheet name="Pork" sheetId="21" r:id="rId3"/>
    <sheet name="Chicken" sheetId="22" r:id="rId4"/>
    <sheet name="Other Poultry" sheetId="23" r:id="rId5"/>
    <sheet name="Eggs" sheetId="24" r:id="rId6"/>
    <sheet name="Mozzarella" sheetId="25" r:id="rId7"/>
    <sheet name="Cheese" sheetId="26" r:id="rId8"/>
    <sheet name="Fruit" sheetId="27" r:id="rId9"/>
    <sheet name="Peanut Butter" sheetId="28" r:id="rId10"/>
    <sheet name="Potato" sheetId="30" r:id="rId11"/>
    <sheet name="Tomato" sheetId="29" r:id="rId12"/>
    <sheet name="Sheet3" sheetId="3" state="hidden" r:id="rId13"/>
  </sheets>
  <calcPr calcId="191029"/>
  <pivotCaches>
    <pivotCache cacheId="0" r:id="rId1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6" i="29" l="1"/>
  <c r="W66" i="29"/>
  <c r="V66" i="29"/>
  <c r="T66" i="29"/>
  <c r="U66" i="29" s="1"/>
  <c r="S66" i="29"/>
  <c r="W65" i="29"/>
  <c r="X65" i="29" s="1"/>
  <c r="V65" i="29"/>
  <c r="T65" i="29"/>
  <c r="U65" i="29" s="1"/>
  <c r="S65" i="29"/>
  <c r="W64" i="29"/>
  <c r="X64" i="29" s="1"/>
  <c r="V64" i="29"/>
  <c r="T64" i="29"/>
  <c r="U64" i="29" s="1"/>
  <c r="S64" i="29"/>
  <c r="X63" i="29"/>
  <c r="W63" i="29"/>
  <c r="V63" i="29"/>
  <c r="T63" i="29"/>
  <c r="U63" i="29" s="1"/>
  <c r="S63" i="29"/>
  <c r="X62" i="29"/>
  <c r="W62" i="29"/>
  <c r="V62" i="29"/>
  <c r="T62" i="29"/>
  <c r="U62" i="29" s="1"/>
  <c r="S62" i="29"/>
  <c r="W61" i="29"/>
  <c r="X61" i="29" s="1"/>
  <c r="V61" i="29"/>
  <c r="T61" i="29"/>
  <c r="U61" i="29" s="1"/>
  <c r="S61" i="29"/>
  <c r="W60" i="29"/>
  <c r="X60" i="29" s="1"/>
  <c r="V60" i="29"/>
  <c r="T60" i="29"/>
  <c r="U60" i="29" s="1"/>
  <c r="S60" i="29"/>
  <c r="X59" i="29"/>
  <c r="W59" i="29"/>
  <c r="V59" i="29"/>
  <c r="T59" i="29"/>
  <c r="U59" i="29" s="1"/>
  <c r="S59" i="29"/>
  <c r="W58" i="29"/>
  <c r="X58" i="29" s="1"/>
  <c r="V58" i="29"/>
  <c r="T58" i="29"/>
  <c r="U58" i="29" s="1"/>
  <c r="S58" i="29"/>
  <c r="W57" i="29"/>
  <c r="X57" i="29" s="1"/>
  <c r="V57" i="29"/>
  <c r="U57" i="29"/>
  <c r="T57" i="29"/>
  <c r="S57" i="29"/>
  <c r="W56" i="29"/>
  <c r="X56" i="29" s="1"/>
  <c r="V56" i="29"/>
  <c r="U56" i="29"/>
  <c r="T56" i="29"/>
  <c r="S56" i="29"/>
  <c r="W55" i="29"/>
  <c r="X55" i="29" s="1"/>
  <c r="V55" i="29"/>
  <c r="U55" i="29"/>
  <c r="T55" i="29"/>
  <c r="S55" i="29"/>
  <c r="W54" i="29"/>
  <c r="X54" i="29" s="1"/>
  <c r="V54" i="29"/>
  <c r="T54" i="29"/>
  <c r="U54" i="29" s="1"/>
  <c r="S54" i="29"/>
  <c r="W53" i="29"/>
  <c r="X53" i="29" s="1"/>
  <c r="V53" i="29"/>
  <c r="U53" i="29"/>
  <c r="T53" i="29"/>
  <c r="S53" i="29"/>
  <c r="W52" i="29"/>
  <c r="X52" i="29" s="1"/>
  <c r="V52" i="29"/>
  <c r="U52" i="29"/>
  <c r="T52" i="29"/>
  <c r="S52" i="29"/>
  <c r="W51" i="29"/>
  <c r="X51" i="29" s="1"/>
  <c r="V51" i="29"/>
  <c r="U51" i="29"/>
  <c r="T51" i="29"/>
  <c r="S51" i="29"/>
  <c r="W50" i="29"/>
  <c r="X50" i="29" s="1"/>
  <c r="V50" i="29"/>
  <c r="T50" i="29"/>
  <c r="U50" i="29" s="1"/>
  <c r="S50" i="29"/>
  <c r="W49" i="29"/>
  <c r="X49" i="29" s="1"/>
  <c r="V49" i="29"/>
  <c r="U49" i="29"/>
  <c r="T49" i="29"/>
  <c r="S49" i="29"/>
  <c r="W48" i="29"/>
  <c r="X48" i="29" s="1"/>
  <c r="V48" i="29"/>
  <c r="U48" i="29"/>
  <c r="T48" i="29"/>
  <c r="S48" i="29"/>
  <c r="W47" i="29"/>
  <c r="X47" i="29" s="1"/>
  <c r="V47" i="29"/>
  <c r="U47" i="29"/>
  <c r="T47" i="29"/>
  <c r="S47" i="29"/>
  <c r="W46" i="29"/>
  <c r="X46" i="29" s="1"/>
  <c r="V46" i="29"/>
  <c r="T46" i="29"/>
  <c r="U46" i="29" s="1"/>
  <c r="S46" i="29"/>
  <c r="W45" i="29"/>
  <c r="X45" i="29" s="1"/>
  <c r="V45" i="29"/>
  <c r="U45" i="29"/>
  <c r="T45" i="29"/>
  <c r="S45" i="29"/>
  <c r="W44" i="29"/>
  <c r="X44" i="29" s="1"/>
  <c r="V44" i="29"/>
  <c r="U44" i="29"/>
  <c r="T44" i="29"/>
  <c r="S44" i="29"/>
  <c r="W43" i="29"/>
  <c r="X43" i="29" s="1"/>
  <c r="V43" i="29"/>
  <c r="U43" i="29"/>
  <c r="T43" i="29"/>
  <c r="S43" i="29"/>
  <c r="W42" i="29"/>
  <c r="X42" i="29" s="1"/>
  <c r="V42" i="29"/>
  <c r="T42" i="29"/>
  <c r="U42" i="29" s="1"/>
  <c r="S42" i="29"/>
  <c r="W41" i="29"/>
  <c r="X41" i="29" s="1"/>
  <c r="V41" i="29"/>
  <c r="T41" i="29"/>
  <c r="U41" i="29" s="1"/>
  <c r="S41" i="29"/>
  <c r="W40" i="29"/>
  <c r="X40" i="29" s="1"/>
  <c r="V40" i="29"/>
  <c r="U40" i="29"/>
  <c r="T40" i="29"/>
  <c r="S40" i="29"/>
  <c r="W39" i="29"/>
  <c r="X39" i="29" s="1"/>
  <c r="V39" i="29"/>
  <c r="U39" i="29"/>
  <c r="T39" i="29"/>
  <c r="S39" i="29"/>
  <c r="W38" i="29"/>
  <c r="X38" i="29" s="1"/>
  <c r="V38" i="29"/>
  <c r="T38" i="29"/>
  <c r="U38" i="29" s="1"/>
  <c r="S38" i="29"/>
  <c r="W37" i="29"/>
  <c r="X37" i="29" s="1"/>
  <c r="V37" i="29"/>
  <c r="T37" i="29"/>
  <c r="U37" i="29" s="1"/>
  <c r="S37" i="29"/>
  <c r="W36" i="29"/>
  <c r="X36" i="29" s="1"/>
  <c r="V36" i="29"/>
  <c r="U36" i="29"/>
  <c r="T36" i="29"/>
  <c r="S36" i="29"/>
  <c r="W35" i="29"/>
  <c r="X35" i="29" s="1"/>
  <c r="V35" i="29"/>
  <c r="U35" i="29"/>
  <c r="T35" i="29"/>
  <c r="S35" i="29"/>
  <c r="W66" i="30" l="1"/>
  <c r="X66" i="30" s="1"/>
  <c r="V66" i="30"/>
  <c r="T66" i="30"/>
  <c r="U66" i="30" s="1"/>
  <c r="S66" i="30"/>
  <c r="W65" i="30"/>
  <c r="X65" i="30" s="1"/>
  <c r="V65" i="30"/>
  <c r="T65" i="30"/>
  <c r="U65" i="30" s="1"/>
  <c r="S65" i="30"/>
  <c r="W64" i="30"/>
  <c r="X64" i="30" s="1"/>
  <c r="V64" i="30"/>
  <c r="T64" i="30"/>
  <c r="U64" i="30" s="1"/>
  <c r="S64" i="30"/>
  <c r="W63" i="30"/>
  <c r="X63" i="30" s="1"/>
  <c r="V63" i="30"/>
  <c r="T63" i="30"/>
  <c r="U63" i="30" s="1"/>
  <c r="S63" i="30"/>
  <c r="W62" i="30"/>
  <c r="X62" i="30" s="1"/>
  <c r="V62" i="30"/>
  <c r="T62" i="30"/>
  <c r="U62" i="30" s="1"/>
  <c r="S62" i="30"/>
  <c r="W61" i="30"/>
  <c r="X61" i="30" s="1"/>
  <c r="V61" i="30"/>
  <c r="U61" i="30"/>
  <c r="T61" i="30"/>
  <c r="S61" i="30"/>
  <c r="X60" i="30"/>
  <c r="W60" i="30"/>
  <c r="V60" i="30"/>
  <c r="U60" i="30"/>
  <c r="T60" i="30"/>
  <c r="S60" i="30"/>
  <c r="W59" i="30"/>
  <c r="X59" i="30" s="1"/>
  <c r="V59" i="30"/>
  <c r="U59" i="30"/>
  <c r="T59" i="30"/>
  <c r="S59" i="30"/>
  <c r="W58" i="30"/>
  <c r="X58" i="30" s="1"/>
  <c r="V58" i="30"/>
  <c r="T58" i="30"/>
  <c r="U58" i="30" s="1"/>
  <c r="S58" i="30"/>
  <c r="W57" i="30"/>
  <c r="X57" i="30" s="1"/>
  <c r="V57" i="30"/>
  <c r="T57" i="30"/>
  <c r="U57" i="30" s="1"/>
  <c r="S57" i="30"/>
  <c r="W56" i="30"/>
  <c r="X56" i="30" s="1"/>
  <c r="V56" i="30"/>
  <c r="T56" i="30"/>
  <c r="U56" i="30" s="1"/>
  <c r="S56" i="30"/>
  <c r="W55" i="30"/>
  <c r="X55" i="30" s="1"/>
  <c r="V55" i="30"/>
  <c r="T55" i="30"/>
  <c r="U55" i="30" s="1"/>
  <c r="S55" i="30"/>
  <c r="W54" i="30"/>
  <c r="X54" i="30" s="1"/>
  <c r="V54" i="30"/>
  <c r="T54" i="30"/>
  <c r="U54" i="30" s="1"/>
  <c r="S54" i="30"/>
  <c r="W53" i="30"/>
  <c r="X53" i="30" s="1"/>
  <c r="V53" i="30"/>
  <c r="U53" i="30"/>
  <c r="T53" i="30"/>
  <c r="S53" i="30"/>
  <c r="X52" i="30"/>
  <c r="W52" i="30"/>
  <c r="V52" i="30"/>
  <c r="U52" i="30"/>
  <c r="T52" i="30"/>
  <c r="S52" i="30"/>
  <c r="W51" i="30"/>
  <c r="X51" i="30" s="1"/>
  <c r="V51" i="30"/>
  <c r="U51" i="30"/>
  <c r="T51" i="30"/>
  <c r="S51" i="30"/>
  <c r="W50" i="30"/>
  <c r="X50" i="30" s="1"/>
  <c r="V50" i="30"/>
  <c r="T50" i="30"/>
  <c r="U50" i="30" s="1"/>
  <c r="S50" i="30"/>
  <c r="W49" i="30"/>
  <c r="X49" i="30" s="1"/>
  <c r="V49" i="30"/>
  <c r="T49" i="30"/>
  <c r="U49" i="30" s="1"/>
  <c r="S49" i="30"/>
  <c r="W48" i="30"/>
  <c r="X48" i="30" s="1"/>
  <c r="V48" i="30"/>
  <c r="T48" i="30"/>
  <c r="U48" i="30" s="1"/>
  <c r="S48" i="30"/>
  <c r="W47" i="30"/>
  <c r="X47" i="30" s="1"/>
  <c r="V47" i="30"/>
  <c r="T47" i="30"/>
  <c r="U47" i="30" s="1"/>
  <c r="S47" i="30"/>
  <c r="W46" i="30"/>
  <c r="X46" i="30" s="1"/>
  <c r="V46" i="30"/>
  <c r="T46" i="30"/>
  <c r="U46" i="30" s="1"/>
  <c r="S46" i="30"/>
  <c r="W45" i="30"/>
  <c r="X45" i="30" s="1"/>
  <c r="V45" i="30"/>
  <c r="U45" i="30"/>
  <c r="T45" i="30"/>
  <c r="S45" i="30"/>
  <c r="X44" i="30"/>
  <c r="W44" i="30"/>
  <c r="V44" i="30"/>
  <c r="U44" i="30"/>
  <c r="T44" i="30"/>
  <c r="S44" i="30"/>
  <c r="W43" i="30"/>
  <c r="X43" i="30" s="1"/>
  <c r="V43" i="30"/>
  <c r="U43" i="30"/>
  <c r="T43" i="30"/>
  <c r="S43" i="30"/>
  <c r="W42" i="30"/>
  <c r="X42" i="30" s="1"/>
  <c r="V42" i="30"/>
  <c r="T42" i="30"/>
  <c r="U42" i="30" s="1"/>
  <c r="S42" i="30"/>
  <c r="W41" i="30"/>
  <c r="X41" i="30" s="1"/>
  <c r="V41" i="30"/>
  <c r="T41" i="30"/>
  <c r="U41" i="30" s="1"/>
  <c r="S41" i="30"/>
  <c r="W40" i="30"/>
  <c r="X40" i="30" s="1"/>
  <c r="V40" i="30"/>
  <c r="T40" i="30"/>
  <c r="U40" i="30" s="1"/>
  <c r="S40" i="30"/>
  <c r="W39" i="30"/>
  <c r="X39" i="30" s="1"/>
  <c r="V39" i="30"/>
  <c r="T39" i="30"/>
  <c r="U39" i="30" s="1"/>
  <c r="S39" i="30"/>
  <c r="W38" i="30"/>
  <c r="X38" i="30" s="1"/>
  <c r="V38" i="30"/>
  <c r="T38" i="30"/>
  <c r="U38" i="30" s="1"/>
  <c r="S38" i="30"/>
  <c r="W37" i="30"/>
  <c r="X37" i="30" s="1"/>
  <c r="V37" i="30"/>
  <c r="U37" i="30"/>
  <c r="T37" i="30"/>
  <c r="S37" i="30"/>
  <c r="X36" i="30"/>
  <c r="W36" i="30"/>
  <c r="V36" i="30"/>
  <c r="U36" i="30"/>
  <c r="T36" i="30"/>
  <c r="S36" i="30"/>
  <c r="W35" i="30"/>
  <c r="X35" i="30" s="1"/>
  <c r="V35" i="30"/>
  <c r="U35" i="30"/>
  <c r="T35" i="30"/>
  <c r="S35" i="30"/>
  <c r="W34" i="30"/>
  <c r="X34" i="30" s="1"/>
  <c r="V34" i="30"/>
  <c r="T34" i="30"/>
  <c r="U34" i="30" s="1"/>
  <c r="S34" i="30"/>
  <c r="W33" i="30"/>
  <c r="X33" i="30" s="1"/>
  <c r="V33" i="30"/>
  <c r="T33" i="30"/>
  <c r="U33" i="30" s="1"/>
  <c r="S33" i="30"/>
  <c r="W32" i="30"/>
  <c r="X32" i="30" s="1"/>
  <c r="V32" i="30"/>
  <c r="T32" i="30"/>
  <c r="U32" i="30" s="1"/>
  <c r="S32" i="30"/>
  <c r="W31" i="30"/>
  <c r="X31" i="30" s="1"/>
  <c r="V31" i="30"/>
  <c r="T31" i="30"/>
  <c r="U31" i="30" s="1"/>
  <c r="S31" i="30"/>
  <c r="W30" i="30"/>
  <c r="X30" i="30" s="1"/>
  <c r="V30" i="30"/>
  <c r="T30" i="30"/>
  <c r="U30" i="30" s="1"/>
  <c r="S30" i="30"/>
  <c r="W29" i="30"/>
  <c r="X29" i="30" s="1"/>
  <c r="V29" i="30"/>
  <c r="U29" i="30"/>
  <c r="T29" i="30"/>
  <c r="S29" i="30"/>
  <c r="X28" i="30"/>
  <c r="W28" i="30"/>
  <c r="V28" i="30"/>
  <c r="U28" i="30"/>
  <c r="T28" i="30"/>
  <c r="S28" i="30"/>
  <c r="W27" i="30"/>
  <c r="X27" i="30" s="1"/>
  <c r="V27" i="30"/>
  <c r="U27" i="30"/>
  <c r="T27" i="30"/>
  <c r="S27" i="30"/>
  <c r="W26" i="30"/>
  <c r="X26" i="30" s="1"/>
  <c r="V26" i="30"/>
  <c r="T26" i="30"/>
  <c r="U26" i="30" s="1"/>
  <c r="S26" i="30"/>
  <c r="W25" i="30"/>
  <c r="X25" i="30" s="1"/>
  <c r="V25" i="30"/>
  <c r="T25" i="30"/>
  <c r="U25" i="30" s="1"/>
  <c r="S25" i="30"/>
  <c r="W24" i="30"/>
  <c r="X24" i="30" s="1"/>
  <c r="V24" i="30"/>
  <c r="T24" i="30"/>
  <c r="U24" i="30" s="1"/>
  <c r="S24" i="30"/>
  <c r="W23" i="30"/>
  <c r="X23" i="30" s="1"/>
  <c r="V23" i="30"/>
  <c r="T23" i="30"/>
  <c r="U23" i="30" s="1"/>
  <c r="S23" i="30"/>
  <c r="W22" i="30"/>
  <c r="X22" i="30" s="1"/>
  <c r="V22" i="30"/>
  <c r="T22" i="30"/>
  <c r="U22" i="30" s="1"/>
  <c r="S22" i="30"/>
  <c r="W21" i="30"/>
  <c r="X21" i="30" s="1"/>
  <c r="V21" i="30"/>
  <c r="U21" i="30"/>
  <c r="T21" i="30"/>
  <c r="S21" i="30"/>
  <c r="X20" i="30"/>
  <c r="W20" i="30"/>
  <c r="V20" i="30"/>
  <c r="U20" i="30"/>
  <c r="T20" i="30"/>
  <c r="S20" i="30"/>
  <c r="W19" i="30"/>
  <c r="X19" i="30" s="1"/>
  <c r="V19" i="30"/>
  <c r="T19" i="30"/>
  <c r="U19" i="30" s="1"/>
  <c r="S19" i="30"/>
  <c r="W18" i="30"/>
  <c r="X18" i="30" s="1"/>
  <c r="V18" i="30"/>
  <c r="T18" i="30"/>
  <c r="U18" i="30" s="1"/>
  <c r="S18" i="30"/>
  <c r="W17" i="30"/>
  <c r="X17" i="30" s="1"/>
  <c r="V17" i="30"/>
  <c r="U17" i="30"/>
  <c r="T17" i="30"/>
  <c r="S17" i="30"/>
  <c r="X16" i="30"/>
  <c r="W16" i="30"/>
  <c r="V16" i="30"/>
  <c r="U16" i="30"/>
  <c r="T16" i="30"/>
  <c r="S16" i="30"/>
  <c r="W15" i="30"/>
  <c r="X15" i="30" s="1"/>
  <c r="V15" i="30"/>
  <c r="T15" i="30"/>
  <c r="U15" i="30" s="1"/>
  <c r="S15" i="30"/>
  <c r="W14" i="30"/>
  <c r="X14" i="30" s="1"/>
  <c r="V14" i="30"/>
  <c r="T14" i="30"/>
  <c r="U14" i="30" s="1"/>
  <c r="S14" i="30"/>
  <c r="W13" i="30"/>
  <c r="X13" i="30" s="1"/>
  <c r="V13" i="30"/>
  <c r="U13" i="30"/>
  <c r="T13" i="30"/>
  <c r="S13" i="30"/>
  <c r="W12" i="30"/>
  <c r="X12" i="30" s="1"/>
  <c r="V12" i="30"/>
  <c r="T12" i="30"/>
  <c r="U12" i="30" s="1"/>
  <c r="S12" i="30"/>
  <c r="W11" i="30"/>
  <c r="X11" i="30" s="1"/>
  <c r="V11" i="30"/>
  <c r="T11" i="30"/>
  <c r="U11" i="30" s="1"/>
  <c r="S11" i="30"/>
  <c r="W10" i="30"/>
  <c r="X10" i="30" s="1"/>
  <c r="V10" i="30"/>
  <c r="T10" i="30"/>
  <c r="U10" i="30" s="1"/>
  <c r="S10" i="30"/>
  <c r="W9" i="30"/>
  <c r="X9" i="30" s="1"/>
  <c r="V9" i="30"/>
  <c r="U9" i="30"/>
  <c r="T9" i="30"/>
  <c r="S9" i="30"/>
  <c r="W8" i="30"/>
  <c r="X8" i="30" s="1"/>
  <c r="V8" i="30"/>
  <c r="T8" i="30"/>
  <c r="U8" i="30" s="1"/>
  <c r="S8" i="30"/>
  <c r="W7" i="30"/>
  <c r="X7" i="30" s="1"/>
  <c r="V7" i="30"/>
  <c r="T7" i="30"/>
  <c r="U7" i="30" s="1"/>
  <c r="S7" i="30"/>
  <c r="W6" i="30"/>
  <c r="X6" i="30" s="1"/>
  <c r="V6" i="30"/>
  <c r="U6" i="30"/>
  <c r="T6" i="30"/>
  <c r="S6" i="30"/>
  <c r="W5" i="30"/>
  <c r="X5" i="30" s="1"/>
  <c r="V5" i="30"/>
  <c r="T5" i="30"/>
  <c r="U5" i="30" s="1"/>
  <c r="S5" i="30"/>
  <c r="X4" i="30"/>
  <c r="W4" i="30"/>
  <c r="V4" i="30"/>
  <c r="U4" i="30"/>
  <c r="T4" i="30"/>
  <c r="S4" i="30"/>
  <c r="W3" i="30"/>
  <c r="X3" i="30" s="1"/>
  <c r="V3" i="30"/>
  <c r="T3" i="30"/>
  <c r="U3" i="30" s="1"/>
  <c r="S3" i="30"/>
  <c r="E1" i="30"/>
  <c r="W34" i="29"/>
  <c r="X34" i="29" s="1"/>
  <c r="V34" i="29"/>
  <c r="T34" i="29"/>
  <c r="U34" i="29" s="1"/>
  <c r="S34" i="29"/>
  <c r="W33" i="29"/>
  <c r="X33" i="29" s="1"/>
  <c r="V33" i="29"/>
  <c r="T33" i="29"/>
  <c r="U33" i="29" s="1"/>
  <c r="S33" i="29"/>
  <c r="W32" i="29"/>
  <c r="X32" i="29" s="1"/>
  <c r="V32" i="29"/>
  <c r="U32" i="29"/>
  <c r="T32" i="29"/>
  <c r="S32" i="29"/>
  <c r="W31" i="29"/>
  <c r="X31" i="29" s="1"/>
  <c r="V31" i="29"/>
  <c r="T31" i="29"/>
  <c r="U31" i="29" s="1"/>
  <c r="S31" i="29"/>
  <c r="W30" i="29"/>
  <c r="X30" i="29" s="1"/>
  <c r="V30" i="29"/>
  <c r="T30" i="29"/>
  <c r="U30" i="29" s="1"/>
  <c r="S30" i="29"/>
  <c r="W29" i="29"/>
  <c r="X29" i="29" s="1"/>
  <c r="V29" i="29"/>
  <c r="T29" i="29"/>
  <c r="U29" i="29" s="1"/>
  <c r="S29" i="29"/>
  <c r="W28" i="29"/>
  <c r="X28" i="29" s="1"/>
  <c r="V28" i="29"/>
  <c r="T28" i="29"/>
  <c r="U28" i="29" s="1"/>
  <c r="S28" i="29"/>
  <c r="W27" i="29"/>
  <c r="X27" i="29" s="1"/>
  <c r="V27" i="29"/>
  <c r="U27" i="29"/>
  <c r="T27" i="29"/>
  <c r="S27" i="29"/>
  <c r="W26" i="29"/>
  <c r="X26" i="29" s="1"/>
  <c r="V26" i="29"/>
  <c r="T26" i="29"/>
  <c r="U26" i="29" s="1"/>
  <c r="S26" i="29"/>
  <c r="W25" i="29"/>
  <c r="X25" i="29" s="1"/>
  <c r="V25" i="29"/>
  <c r="T25" i="29"/>
  <c r="U25" i="29" s="1"/>
  <c r="S25" i="29"/>
  <c r="W24" i="29"/>
  <c r="X24" i="29" s="1"/>
  <c r="V24" i="29"/>
  <c r="T24" i="29"/>
  <c r="U24" i="29" s="1"/>
  <c r="S24" i="29"/>
  <c r="W23" i="29"/>
  <c r="X23" i="29" s="1"/>
  <c r="V23" i="29"/>
  <c r="T23" i="29"/>
  <c r="U23" i="29" s="1"/>
  <c r="S23" i="29"/>
  <c r="X22" i="29"/>
  <c r="W22" i="29"/>
  <c r="V22" i="29"/>
  <c r="T22" i="29"/>
  <c r="U22" i="29" s="1"/>
  <c r="S22" i="29"/>
  <c r="W21" i="29"/>
  <c r="X21" i="29" s="1"/>
  <c r="V21" i="29"/>
  <c r="T21" i="29"/>
  <c r="U21" i="29" s="1"/>
  <c r="S21" i="29"/>
  <c r="W20" i="29"/>
  <c r="X20" i="29" s="1"/>
  <c r="V20" i="29"/>
  <c r="T20" i="29"/>
  <c r="U20" i="29" s="1"/>
  <c r="S20" i="29"/>
  <c r="W19" i="29"/>
  <c r="X19" i="29" s="1"/>
  <c r="V19" i="29"/>
  <c r="T19" i="29"/>
  <c r="U19" i="29" s="1"/>
  <c r="S19" i="29"/>
  <c r="W18" i="29"/>
  <c r="X18" i="29" s="1"/>
  <c r="V18" i="29"/>
  <c r="T18" i="29"/>
  <c r="U18" i="29" s="1"/>
  <c r="S18" i="29"/>
  <c r="W17" i="29"/>
  <c r="X17" i="29" s="1"/>
  <c r="V17" i="29"/>
  <c r="T17" i="29"/>
  <c r="U17" i="29" s="1"/>
  <c r="S17" i="29"/>
  <c r="W16" i="29"/>
  <c r="X16" i="29" s="1"/>
  <c r="V16" i="29"/>
  <c r="U16" i="29"/>
  <c r="T16" i="29"/>
  <c r="S16" i="29"/>
  <c r="W15" i="29"/>
  <c r="X15" i="29" s="1"/>
  <c r="V15" i="29"/>
  <c r="T15" i="29"/>
  <c r="U15" i="29" s="1"/>
  <c r="S15" i="29"/>
  <c r="W14" i="29"/>
  <c r="X14" i="29" s="1"/>
  <c r="V14" i="29"/>
  <c r="T14" i="29"/>
  <c r="U14" i="29" s="1"/>
  <c r="S14" i="29"/>
  <c r="W13" i="29"/>
  <c r="X13" i="29" s="1"/>
  <c r="V13" i="29"/>
  <c r="T13" i="29"/>
  <c r="U13" i="29" s="1"/>
  <c r="S13" i="29"/>
  <c r="W12" i="29"/>
  <c r="X12" i="29" s="1"/>
  <c r="V12" i="29"/>
  <c r="T12" i="29"/>
  <c r="U12" i="29" s="1"/>
  <c r="S12" i="29"/>
  <c r="W11" i="29"/>
  <c r="X11" i="29" s="1"/>
  <c r="V11" i="29"/>
  <c r="U11" i="29"/>
  <c r="T11" i="29"/>
  <c r="S11" i="29"/>
  <c r="W10" i="29"/>
  <c r="X10" i="29" s="1"/>
  <c r="V10" i="29"/>
  <c r="T10" i="29"/>
  <c r="U10" i="29" s="1"/>
  <c r="S10" i="29"/>
  <c r="W9" i="29"/>
  <c r="X9" i="29" s="1"/>
  <c r="V9" i="29"/>
  <c r="T9" i="29"/>
  <c r="U9" i="29" s="1"/>
  <c r="S9" i="29"/>
  <c r="W8" i="29"/>
  <c r="X8" i="29" s="1"/>
  <c r="V8" i="29"/>
  <c r="T8" i="29"/>
  <c r="U8" i="29" s="1"/>
  <c r="S8" i="29"/>
  <c r="W7" i="29"/>
  <c r="X7" i="29" s="1"/>
  <c r="V7" i="29"/>
  <c r="T7" i="29"/>
  <c r="U7" i="29" s="1"/>
  <c r="S7" i="29"/>
  <c r="W6" i="29"/>
  <c r="X6" i="29" s="1"/>
  <c r="V6" i="29"/>
  <c r="T6" i="29"/>
  <c r="U6" i="29" s="1"/>
  <c r="S6" i="29"/>
  <c r="W5" i="29"/>
  <c r="X5" i="29" s="1"/>
  <c r="V5" i="29"/>
  <c r="T5" i="29"/>
  <c r="U5" i="29" s="1"/>
  <c r="S5" i="29"/>
  <c r="W4" i="29"/>
  <c r="X4" i="29" s="1"/>
  <c r="V4" i="29"/>
  <c r="T4" i="29"/>
  <c r="U4" i="29" s="1"/>
  <c r="S4" i="29"/>
  <c r="W3" i="29"/>
  <c r="X3" i="29" s="1"/>
  <c r="V3" i="29"/>
  <c r="T3" i="29"/>
  <c r="U3" i="29" s="1"/>
  <c r="S3" i="29"/>
  <c r="E1" i="29"/>
  <c r="W34" i="28"/>
  <c r="X34" i="28" s="1"/>
  <c r="V34" i="28"/>
  <c r="T34" i="28"/>
  <c r="U34" i="28" s="1"/>
  <c r="S34" i="28"/>
  <c r="W33" i="28"/>
  <c r="X33" i="28" s="1"/>
  <c r="V33" i="28"/>
  <c r="U33" i="28"/>
  <c r="T33" i="28"/>
  <c r="S33" i="28"/>
  <c r="W32" i="28"/>
  <c r="X32" i="28" s="1"/>
  <c r="V32" i="28"/>
  <c r="T32" i="28"/>
  <c r="U32" i="28" s="1"/>
  <c r="S32" i="28"/>
  <c r="W31" i="28"/>
  <c r="X31" i="28" s="1"/>
  <c r="V31" i="28"/>
  <c r="T31" i="28"/>
  <c r="U31" i="28" s="1"/>
  <c r="S31" i="28"/>
  <c r="W30" i="28"/>
  <c r="X30" i="28" s="1"/>
  <c r="V30" i="28"/>
  <c r="T30" i="28"/>
  <c r="U30" i="28" s="1"/>
  <c r="S30" i="28"/>
  <c r="W29" i="28"/>
  <c r="X29" i="28" s="1"/>
  <c r="V29" i="28"/>
  <c r="T29" i="28"/>
  <c r="U29" i="28" s="1"/>
  <c r="S29" i="28"/>
  <c r="W28" i="28"/>
  <c r="X28" i="28" s="1"/>
  <c r="V28" i="28"/>
  <c r="T28" i="28"/>
  <c r="U28" i="28" s="1"/>
  <c r="S28" i="28"/>
  <c r="W27" i="28"/>
  <c r="X27" i="28" s="1"/>
  <c r="V27" i="28"/>
  <c r="U27" i="28"/>
  <c r="T27" i="28"/>
  <c r="S27" i="28"/>
  <c r="W26" i="28"/>
  <c r="X26" i="28" s="1"/>
  <c r="V26" i="28"/>
  <c r="T26" i="28"/>
  <c r="U26" i="28" s="1"/>
  <c r="S26" i="28"/>
  <c r="W25" i="28"/>
  <c r="X25" i="28" s="1"/>
  <c r="V25" i="28"/>
  <c r="U25" i="28"/>
  <c r="T25" i="28"/>
  <c r="S25" i="28"/>
  <c r="W24" i="28"/>
  <c r="X24" i="28" s="1"/>
  <c r="V24" i="28"/>
  <c r="T24" i="28"/>
  <c r="U24" i="28" s="1"/>
  <c r="S24" i="28"/>
  <c r="W23" i="28"/>
  <c r="X23" i="28" s="1"/>
  <c r="V23" i="28"/>
  <c r="T23" i="28"/>
  <c r="U23" i="28" s="1"/>
  <c r="S23" i="28"/>
  <c r="W22" i="28"/>
  <c r="X22" i="28" s="1"/>
  <c r="V22" i="28"/>
  <c r="T22" i="28"/>
  <c r="U22" i="28" s="1"/>
  <c r="S22" i="28"/>
  <c r="W21" i="28"/>
  <c r="X21" i="28" s="1"/>
  <c r="V21" i="28"/>
  <c r="U21" i="28"/>
  <c r="T21" i="28"/>
  <c r="S21" i="28"/>
  <c r="W20" i="28"/>
  <c r="X20" i="28" s="1"/>
  <c r="V20" i="28"/>
  <c r="T20" i="28"/>
  <c r="U20" i="28" s="1"/>
  <c r="S20" i="28"/>
  <c r="W19" i="28"/>
  <c r="X19" i="28" s="1"/>
  <c r="V19" i="28"/>
  <c r="T19" i="28"/>
  <c r="U19" i="28" s="1"/>
  <c r="S19" i="28"/>
  <c r="W18" i="28"/>
  <c r="X18" i="28" s="1"/>
  <c r="V18" i="28"/>
  <c r="T18" i="28"/>
  <c r="U18" i="28" s="1"/>
  <c r="S18" i="28"/>
  <c r="W17" i="28"/>
  <c r="X17" i="28" s="1"/>
  <c r="V17" i="28"/>
  <c r="U17" i="28"/>
  <c r="T17" i="28"/>
  <c r="S17" i="28"/>
  <c r="W16" i="28"/>
  <c r="X16" i="28" s="1"/>
  <c r="V16" i="28"/>
  <c r="T16" i="28"/>
  <c r="U16" i="28" s="1"/>
  <c r="S16" i="28"/>
  <c r="W15" i="28"/>
  <c r="X15" i="28" s="1"/>
  <c r="V15" i="28"/>
  <c r="T15" i="28"/>
  <c r="U15" i="28" s="1"/>
  <c r="S15" i="28"/>
  <c r="W14" i="28"/>
  <c r="X14" i="28" s="1"/>
  <c r="V14" i="28"/>
  <c r="T14" i="28"/>
  <c r="U14" i="28" s="1"/>
  <c r="S14" i="28"/>
  <c r="W13" i="28"/>
  <c r="X13" i="28" s="1"/>
  <c r="V13" i="28"/>
  <c r="T13" i="28"/>
  <c r="U13" i="28" s="1"/>
  <c r="S13" i="28"/>
  <c r="W12" i="28"/>
  <c r="X12" i="28" s="1"/>
  <c r="V12" i="28"/>
  <c r="T12" i="28"/>
  <c r="U12" i="28" s="1"/>
  <c r="S12" i="28"/>
  <c r="W11" i="28"/>
  <c r="X11" i="28" s="1"/>
  <c r="V11" i="28"/>
  <c r="U11" i="28"/>
  <c r="T11" i="28"/>
  <c r="S11" i="28"/>
  <c r="W10" i="28"/>
  <c r="X10" i="28" s="1"/>
  <c r="V10" i="28"/>
  <c r="T10" i="28"/>
  <c r="U10" i="28" s="1"/>
  <c r="S10" i="28"/>
  <c r="W9" i="28"/>
  <c r="X9" i="28" s="1"/>
  <c r="V9" i="28"/>
  <c r="T9" i="28"/>
  <c r="U9" i="28" s="1"/>
  <c r="S9" i="28"/>
  <c r="W8" i="28"/>
  <c r="X8" i="28" s="1"/>
  <c r="V8" i="28"/>
  <c r="T8" i="28"/>
  <c r="U8" i="28" s="1"/>
  <c r="S8" i="28"/>
  <c r="W7" i="28"/>
  <c r="X7" i="28" s="1"/>
  <c r="V7" i="28"/>
  <c r="U7" i="28"/>
  <c r="T7" i="28"/>
  <c r="S7" i="28"/>
  <c r="W6" i="28"/>
  <c r="X6" i="28" s="1"/>
  <c r="V6" i="28"/>
  <c r="T6" i="28"/>
  <c r="U6" i="28" s="1"/>
  <c r="S6" i="28"/>
  <c r="W5" i="28"/>
  <c r="X5" i="28" s="1"/>
  <c r="V5" i="28"/>
  <c r="T5" i="28"/>
  <c r="U5" i="28" s="1"/>
  <c r="S5" i="28"/>
  <c r="W4" i="28"/>
  <c r="X4" i="28" s="1"/>
  <c r="V4" i="28"/>
  <c r="T4" i="28"/>
  <c r="U4" i="28" s="1"/>
  <c r="S4" i="28"/>
  <c r="W3" i="28"/>
  <c r="X3" i="28" s="1"/>
  <c r="V3" i="28"/>
  <c r="T3" i="28"/>
  <c r="U3" i="28" s="1"/>
  <c r="S3" i="28"/>
  <c r="E1" i="28"/>
  <c r="W58" i="27"/>
  <c r="X58" i="27" s="1"/>
  <c r="V58" i="27"/>
  <c r="T58" i="27"/>
  <c r="U58" i="27" s="1"/>
  <c r="S58" i="27"/>
  <c r="W57" i="27"/>
  <c r="X57" i="27" s="1"/>
  <c r="V57" i="27"/>
  <c r="T57" i="27"/>
  <c r="U57" i="27" s="1"/>
  <c r="S57" i="27"/>
  <c r="X56" i="27"/>
  <c r="W56" i="27"/>
  <c r="V56" i="27"/>
  <c r="T56" i="27"/>
  <c r="U56" i="27" s="1"/>
  <c r="S56" i="27"/>
  <c r="W55" i="27"/>
  <c r="X55" i="27" s="1"/>
  <c r="V55" i="27"/>
  <c r="T55" i="27"/>
  <c r="U55" i="27" s="1"/>
  <c r="S55" i="27"/>
  <c r="W54" i="27"/>
  <c r="X54" i="27" s="1"/>
  <c r="V54" i="27"/>
  <c r="T54" i="27"/>
  <c r="U54" i="27" s="1"/>
  <c r="S54" i="27"/>
  <c r="W53" i="27"/>
  <c r="X53" i="27" s="1"/>
  <c r="V53" i="27"/>
  <c r="T53" i="27"/>
  <c r="U53" i="27" s="1"/>
  <c r="S53" i="27"/>
  <c r="X52" i="27"/>
  <c r="W52" i="27"/>
  <c r="V52" i="27"/>
  <c r="T52" i="27"/>
  <c r="U52" i="27" s="1"/>
  <c r="S52" i="27"/>
  <c r="W51" i="27"/>
  <c r="X51" i="27" s="1"/>
  <c r="V51" i="27"/>
  <c r="T51" i="27"/>
  <c r="U51" i="27" s="1"/>
  <c r="S51" i="27"/>
  <c r="W50" i="27"/>
  <c r="X50" i="27" s="1"/>
  <c r="V50" i="27"/>
  <c r="T50" i="27"/>
  <c r="U50" i="27" s="1"/>
  <c r="S50" i="27"/>
  <c r="W49" i="27"/>
  <c r="X49" i="27" s="1"/>
  <c r="V49" i="27"/>
  <c r="T49" i="27"/>
  <c r="U49" i="27" s="1"/>
  <c r="S49" i="27"/>
  <c r="W48" i="27"/>
  <c r="X48" i="27" s="1"/>
  <c r="V48" i="27"/>
  <c r="T48" i="27"/>
  <c r="U48" i="27" s="1"/>
  <c r="S48" i="27"/>
  <c r="X47" i="27"/>
  <c r="W47" i="27"/>
  <c r="V47" i="27"/>
  <c r="T47" i="27"/>
  <c r="U47" i="27" s="1"/>
  <c r="S47" i="27"/>
  <c r="W46" i="27"/>
  <c r="X46" i="27" s="1"/>
  <c r="V46" i="27"/>
  <c r="T46" i="27"/>
  <c r="U46" i="27" s="1"/>
  <c r="S46" i="27"/>
  <c r="W45" i="27"/>
  <c r="X45" i="27" s="1"/>
  <c r="V45" i="27"/>
  <c r="T45" i="27"/>
  <c r="U45" i="27" s="1"/>
  <c r="S45" i="27"/>
  <c r="W44" i="27"/>
  <c r="X44" i="27" s="1"/>
  <c r="V44" i="27"/>
  <c r="T44" i="27"/>
  <c r="U44" i="27" s="1"/>
  <c r="S44" i="27"/>
  <c r="X43" i="27"/>
  <c r="W43" i="27"/>
  <c r="V43" i="27"/>
  <c r="T43" i="27"/>
  <c r="U43" i="27" s="1"/>
  <c r="S43" i="27"/>
  <c r="W42" i="27"/>
  <c r="X42" i="27" s="1"/>
  <c r="V42" i="27"/>
  <c r="T42" i="27"/>
  <c r="U42" i="27" s="1"/>
  <c r="S42" i="27"/>
  <c r="W41" i="27"/>
  <c r="X41" i="27" s="1"/>
  <c r="V41" i="27"/>
  <c r="T41" i="27"/>
  <c r="U41" i="27" s="1"/>
  <c r="S41" i="27"/>
  <c r="X40" i="27"/>
  <c r="W40" i="27"/>
  <c r="V40" i="27"/>
  <c r="U40" i="27"/>
  <c r="T40" i="27"/>
  <c r="S40" i="27"/>
  <c r="W39" i="27"/>
  <c r="X39" i="27" s="1"/>
  <c r="V39" i="27"/>
  <c r="T39" i="27"/>
  <c r="U39" i="27" s="1"/>
  <c r="S39" i="27"/>
  <c r="W38" i="27"/>
  <c r="X38" i="27" s="1"/>
  <c r="V38" i="27"/>
  <c r="T38" i="27"/>
  <c r="U38" i="27" s="1"/>
  <c r="S38" i="27"/>
  <c r="W37" i="27"/>
  <c r="X37" i="27" s="1"/>
  <c r="V37" i="27"/>
  <c r="T37" i="27"/>
  <c r="U37" i="27" s="1"/>
  <c r="S37" i="27"/>
  <c r="X36" i="27"/>
  <c r="W36" i="27"/>
  <c r="V36" i="27"/>
  <c r="T36" i="27"/>
  <c r="U36" i="27" s="1"/>
  <c r="S36" i="27"/>
  <c r="W35" i="27"/>
  <c r="X35" i="27" s="1"/>
  <c r="V35" i="27"/>
  <c r="T35" i="27"/>
  <c r="U35" i="27" s="1"/>
  <c r="S35" i="27"/>
  <c r="W34" i="27"/>
  <c r="X34" i="27" s="1"/>
  <c r="V34" i="27"/>
  <c r="T34" i="27"/>
  <c r="U34" i="27" s="1"/>
  <c r="S34" i="27"/>
  <c r="W33" i="27"/>
  <c r="X33" i="27" s="1"/>
  <c r="V33" i="27"/>
  <c r="T33" i="27"/>
  <c r="U33" i="27" s="1"/>
  <c r="S33" i="27"/>
  <c r="W32" i="27"/>
  <c r="X32" i="27" s="1"/>
  <c r="V32" i="27"/>
  <c r="T32" i="27"/>
  <c r="U32" i="27" s="1"/>
  <c r="S32" i="27"/>
  <c r="W31" i="27"/>
  <c r="X31" i="27" s="1"/>
  <c r="V31" i="27"/>
  <c r="T31" i="27"/>
  <c r="U31" i="27" s="1"/>
  <c r="S31" i="27"/>
  <c r="W30" i="27"/>
  <c r="X30" i="27" s="1"/>
  <c r="V30" i="27"/>
  <c r="T30" i="27"/>
  <c r="U30" i="27" s="1"/>
  <c r="S30" i="27"/>
  <c r="W29" i="27"/>
  <c r="X29" i="27" s="1"/>
  <c r="V29" i="27"/>
  <c r="T29" i="27"/>
  <c r="U29" i="27" s="1"/>
  <c r="S29" i="27"/>
  <c r="W28" i="27"/>
  <c r="X28" i="27" s="1"/>
  <c r="V28" i="27"/>
  <c r="T28" i="27"/>
  <c r="U28" i="27" s="1"/>
  <c r="S28" i="27"/>
  <c r="X27" i="27"/>
  <c r="W27" i="27"/>
  <c r="V27" i="27"/>
  <c r="T27" i="27"/>
  <c r="U27" i="27" s="1"/>
  <c r="S27" i="27"/>
  <c r="W26" i="27"/>
  <c r="X26" i="27" s="1"/>
  <c r="V26" i="27"/>
  <c r="T26" i="27"/>
  <c r="U26" i="27" s="1"/>
  <c r="S26" i="27"/>
  <c r="W25" i="27"/>
  <c r="X25" i="27" s="1"/>
  <c r="V25" i="27"/>
  <c r="T25" i="27"/>
  <c r="U25" i="27" s="1"/>
  <c r="S25" i="27"/>
  <c r="W24" i="27"/>
  <c r="X24" i="27" s="1"/>
  <c r="V24" i="27"/>
  <c r="U24" i="27"/>
  <c r="T24" i="27"/>
  <c r="S24" i="27"/>
  <c r="W23" i="27"/>
  <c r="X23" i="27" s="1"/>
  <c r="V23" i="27"/>
  <c r="T23" i="27"/>
  <c r="U23" i="27" s="1"/>
  <c r="S23" i="27"/>
  <c r="W22" i="27"/>
  <c r="X22" i="27" s="1"/>
  <c r="V22" i="27"/>
  <c r="T22" i="27"/>
  <c r="U22" i="27" s="1"/>
  <c r="S22" i="27"/>
  <c r="W21" i="27"/>
  <c r="X21" i="27" s="1"/>
  <c r="V21" i="27"/>
  <c r="T21" i="27"/>
  <c r="U21" i="27" s="1"/>
  <c r="S21" i="27"/>
  <c r="X20" i="27"/>
  <c r="W20" i="27"/>
  <c r="V20" i="27"/>
  <c r="T20" i="27"/>
  <c r="U20" i="27" s="1"/>
  <c r="S20" i="27"/>
  <c r="X19" i="27"/>
  <c r="W19" i="27"/>
  <c r="V19" i="27"/>
  <c r="T19" i="27"/>
  <c r="U19" i="27" s="1"/>
  <c r="S19" i="27"/>
  <c r="W18" i="27"/>
  <c r="X18" i="27" s="1"/>
  <c r="V18" i="27"/>
  <c r="T18" i="27"/>
  <c r="U18" i="27" s="1"/>
  <c r="S18" i="27"/>
  <c r="W17" i="27"/>
  <c r="X17" i="27" s="1"/>
  <c r="V17" i="27"/>
  <c r="T17" i="27"/>
  <c r="U17" i="27" s="1"/>
  <c r="S17" i="27"/>
  <c r="W16" i="27"/>
  <c r="X16" i="27" s="1"/>
  <c r="V16" i="27"/>
  <c r="T16" i="27"/>
  <c r="U16" i="27" s="1"/>
  <c r="S16" i="27"/>
  <c r="X15" i="27"/>
  <c r="W15" i="27"/>
  <c r="V15" i="27"/>
  <c r="T15" i="27"/>
  <c r="U15" i="27" s="1"/>
  <c r="S15" i="27"/>
  <c r="W14" i="27"/>
  <c r="X14" i="27" s="1"/>
  <c r="V14" i="27"/>
  <c r="T14" i="27"/>
  <c r="U14" i="27" s="1"/>
  <c r="S14" i="27"/>
  <c r="W13" i="27"/>
  <c r="X13" i="27" s="1"/>
  <c r="V13" i="27"/>
  <c r="T13" i="27"/>
  <c r="U13" i="27" s="1"/>
  <c r="S13" i="27"/>
  <c r="X12" i="27"/>
  <c r="W12" i="27"/>
  <c r="V12" i="27"/>
  <c r="T12" i="27"/>
  <c r="U12" i="27" s="1"/>
  <c r="S12" i="27"/>
  <c r="X11" i="27"/>
  <c r="W11" i="27"/>
  <c r="V11" i="27"/>
  <c r="T11" i="27"/>
  <c r="U11" i="27" s="1"/>
  <c r="S11" i="27"/>
  <c r="W10" i="27"/>
  <c r="X10" i="27" s="1"/>
  <c r="V10" i="27"/>
  <c r="T10" i="27"/>
  <c r="U10" i="27" s="1"/>
  <c r="S10" i="27"/>
  <c r="W9" i="27"/>
  <c r="X9" i="27" s="1"/>
  <c r="V9" i="27"/>
  <c r="T9" i="27"/>
  <c r="U9" i="27" s="1"/>
  <c r="S9" i="27"/>
  <c r="W8" i="27"/>
  <c r="X8" i="27" s="1"/>
  <c r="V8" i="27"/>
  <c r="U8" i="27"/>
  <c r="T8" i="27"/>
  <c r="S8" i="27"/>
  <c r="W7" i="27"/>
  <c r="X7" i="27" s="1"/>
  <c r="V7" i="27"/>
  <c r="T7" i="27"/>
  <c r="U7" i="27" s="1"/>
  <c r="S7" i="27"/>
  <c r="W6" i="27"/>
  <c r="X6" i="27" s="1"/>
  <c r="V6" i="27"/>
  <c r="T6" i="27"/>
  <c r="U6" i="27" s="1"/>
  <c r="S6" i="27"/>
  <c r="W5" i="27"/>
  <c r="X5" i="27" s="1"/>
  <c r="V5" i="27"/>
  <c r="T5" i="27"/>
  <c r="U5" i="27" s="1"/>
  <c r="S5" i="27"/>
  <c r="W4" i="27"/>
  <c r="X4" i="27" s="1"/>
  <c r="V4" i="27"/>
  <c r="T4" i="27"/>
  <c r="U4" i="27" s="1"/>
  <c r="S4" i="27"/>
  <c r="W3" i="27"/>
  <c r="X3" i="27" s="1"/>
  <c r="V3" i="27"/>
  <c r="T3" i="27"/>
  <c r="U3" i="27" s="1"/>
  <c r="S3" i="27"/>
  <c r="E1" i="27"/>
  <c r="W114" i="26"/>
  <c r="X114" i="26" s="1"/>
  <c r="V114" i="26"/>
  <c r="T114" i="26"/>
  <c r="U114" i="26" s="1"/>
  <c r="S114" i="26"/>
  <c r="W113" i="26"/>
  <c r="X113" i="26" s="1"/>
  <c r="V113" i="26"/>
  <c r="U113" i="26"/>
  <c r="T113" i="26"/>
  <c r="S113" i="26"/>
  <c r="W112" i="26"/>
  <c r="X112" i="26" s="1"/>
  <c r="V112" i="26"/>
  <c r="U112" i="26"/>
  <c r="T112" i="26"/>
  <c r="S112" i="26"/>
  <c r="W111" i="26"/>
  <c r="X111" i="26" s="1"/>
  <c r="V111" i="26"/>
  <c r="U111" i="26"/>
  <c r="T111" i="26"/>
  <c r="S111" i="26"/>
  <c r="W110" i="26"/>
  <c r="X110" i="26" s="1"/>
  <c r="V110" i="26"/>
  <c r="T110" i="26"/>
  <c r="U110" i="26" s="1"/>
  <c r="S110" i="26"/>
  <c r="W109" i="26"/>
  <c r="X109" i="26" s="1"/>
  <c r="V109" i="26"/>
  <c r="T109" i="26"/>
  <c r="U109" i="26" s="1"/>
  <c r="S109" i="26"/>
  <c r="W108" i="26"/>
  <c r="X108" i="26" s="1"/>
  <c r="V108" i="26"/>
  <c r="U108" i="26"/>
  <c r="T108" i="26"/>
  <c r="S108" i="26"/>
  <c r="X107" i="26"/>
  <c r="W107" i="26"/>
  <c r="V107" i="26"/>
  <c r="U107" i="26"/>
  <c r="T107" i="26"/>
  <c r="S107" i="26"/>
  <c r="W106" i="26"/>
  <c r="X106" i="26" s="1"/>
  <c r="V106" i="26"/>
  <c r="T106" i="26"/>
  <c r="U106" i="26" s="1"/>
  <c r="S106" i="26"/>
  <c r="W105" i="26"/>
  <c r="X105" i="26" s="1"/>
  <c r="V105" i="26"/>
  <c r="T105" i="26"/>
  <c r="U105" i="26" s="1"/>
  <c r="S105" i="26"/>
  <c r="W104" i="26"/>
  <c r="X104" i="26" s="1"/>
  <c r="V104" i="26"/>
  <c r="U104" i="26"/>
  <c r="T104" i="26"/>
  <c r="S104" i="26"/>
  <c r="X103" i="26"/>
  <c r="W103" i="26"/>
  <c r="V103" i="26"/>
  <c r="U103" i="26"/>
  <c r="T103" i="26"/>
  <c r="S103" i="26"/>
  <c r="W102" i="26"/>
  <c r="X102" i="26" s="1"/>
  <c r="V102" i="26"/>
  <c r="T102" i="26"/>
  <c r="U102" i="26" s="1"/>
  <c r="S102" i="26"/>
  <c r="W101" i="26"/>
  <c r="X101" i="26" s="1"/>
  <c r="V101" i="26"/>
  <c r="T101" i="26"/>
  <c r="U101" i="26" s="1"/>
  <c r="S101" i="26"/>
  <c r="W100" i="26"/>
  <c r="X100" i="26" s="1"/>
  <c r="V100" i="26"/>
  <c r="U100" i="26"/>
  <c r="T100" i="26"/>
  <c r="S100" i="26"/>
  <c r="X99" i="26"/>
  <c r="W99" i="26"/>
  <c r="V99" i="26"/>
  <c r="U99" i="26"/>
  <c r="T99" i="26"/>
  <c r="S99" i="26"/>
  <c r="W98" i="26"/>
  <c r="X98" i="26" s="1"/>
  <c r="V98" i="26"/>
  <c r="U98" i="26"/>
  <c r="T98" i="26"/>
  <c r="S98" i="26"/>
  <c r="W97" i="26"/>
  <c r="X97" i="26" s="1"/>
  <c r="V97" i="26"/>
  <c r="T97" i="26"/>
  <c r="U97" i="26" s="1"/>
  <c r="S97" i="26"/>
  <c r="X96" i="26"/>
  <c r="W96" i="26"/>
  <c r="V96" i="26"/>
  <c r="U96" i="26"/>
  <c r="T96" i="26"/>
  <c r="S96" i="26"/>
  <c r="X95" i="26"/>
  <c r="W95" i="26"/>
  <c r="V95" i="26"/>
  <c r="T95" i="26"/>
  <c r="U95" i="26" s="1"/>
  <c r="S95" i="26"/>
  <c r="W94" i="26"/>
  <c r="X94" i="26" s="1"/>
  <c r="V94" i="26"/>
  <c r="U94" i="26"/>
  <c r="T94" i="26"/>
  <c r="S94" i="26"/>
  <c r="W93" i="26"/>
  <c r="X93" i="26" s="1"/>
  <c r="V93" i="26"/>
  <c r="T93" i="26"/>
  <c r="U93" i="26" s="1"/>
  <c r="S93" i="26"/>
  <c r="X92" i="26"/>
  <c r="W92" i="26"/>
  <c r="V92" i="26"/>
  <c r="U92" i="26"/>
  <c r="T92" i="26"/>
  <c r="S92" i="26"/>
  <c r="X91" i="26"/>
  <c r="W91" i="26"/>
  <c r="V91" i="26"/>
  <c r="T91" i="26"/>
  <c r="U91" i="26" s="1"/>
  <c r="S91" i="26"/>
  <c r="W90" i="26"/>
  <c r="X90" i="26" s="1"/>
  <c r="V90" i="26"/>
  <c r="T90" i="26"/>
  <c r="U90" i="26" s="1"/>
  <c r="S90" i="26"/>
  <c r="W89" i="26"/>
  <c r="X89" i="26" s="1"/>
  <c r="V89" i="26"/>
  <c r="T89" i="26"/>
  <c r="U89" i="26" s="1"/>
  <c r="S89" i="26"/>
  <c r="W88" i="26"/>
  <c r="X88" i="26" s="1"/>
  <c r="V88" i="26"/>
  <c r="U88" i="26"/>
  <c r="T88" i="26"/>
  <c r="S88" i="26"/>
  <c r="W87" i="26"/>
  <c r="X87" i="26" s="1"/>
  <c r="V87" i="26"/>
  <c r="T87" i="26"/>
  <c r="U87" i="26" s="1"/>
  <c r="S87" i="26"/>
  <c r="W86" i="26"/>
  <c r="X86" i="26" s="1"/>
  <c r="V86" i="26"/>
  <c r="T86" i="26"/>
  <c r="U86" i="26" s="1"/>
  <c r="S86" i="26"/>
  <c r="W85" i="26"/>
  <c r="X85" i="26" s="1"/>
  <c r="V85" i="26"/>
  <c r="T85" i="26"/>
  <c r="U85" i="26" s="1"/>
  <c r="S85" i="26"/>
  <c r="W84" i="26"/>
  <c r="X84" i="26" s="1"/>
  <c r="V84" i="26"/>
  <c r="U84" i="26"/>
  <c r="T84" i="26"/>
  <c r="S84" i="26"/>
  <c r="W83" i="26"/>
  <c r="X83" i="26" s="1"/>
  <c r="V83" i="26"/>
  <c r="T83" i="26"/>
  <c r="U83" i="26" s="1"/>
  <c r="S83" i="26"/>
  <c r="W82" i="26"/>
  <c r="X82" i="26" s="1"/>
  <c r="V82" i="26"/>
  <c r="T82" i="26"/>
  <c r="U82" i="26" s="1"/>
  <c r="S82" i="26"/>
  <c r="W81" i="26"/>
  <c r="X81" i="26" s="1"/>
  <c r="V81" i="26"/>
  <c r="T81" i="26"/>
  <c r="U81" i="26" s="1"/>
  <c r="S81" i="26"/>
  <c r="X80" i="26"/>
  <c r="W80" i="26"/>
  <c r="V80" i="26"/>
  <c r="U80" i="26"/>
  <c r="T80" i="26"/>
  <c r="S80" i="26"/>
  <c r="W79" i="26"/>
  <c r="X79" i="26" s="1"/>
  <c r="V79" i="26"/>
  <c r="T79" i="26"/>
  <c r="U79" i="26" s="1"/>
  <c r="S79" i="26"/>
  <c r="W78" i="26"/>
  <c r="X78" i="26" s="1"/>
  <c r="V78" i="26"/>
  <c r="T78" i="26"/>
  <c r="U78" i="26" s="1"/>
  <c r="S78" i="26"/>
  <c r="W77" i="26"/>
  <c r="X77" i="26" s="1"/>
  <c r="V77" i="26"/>
  <c r="U77" i="26"/>
  <c r="T77" i="26"/>
  <c r="S77" i="26"/>
  <c r="X76" i="26"/>
  <c r="W76" i="26"/>
  <c r="V76" i="26"/>
  <c r="U76" i="26"/>
  <c r="T76" i="26"/>
  <c r="S76" i="26"/>
  <c r="W75" i="26"/>
  <c r="X75" i="26" s="1"/>
  <c r="V75" i="26"/>
  <c r="T75" i="26"/>
  <c r="U75" i="26" s="1"/>
  <c r="S75" i="26"/>
  <c r="W74" i="26"/>
  <c r="X74" i="26" s="1"/>
  <c r="V74" i="26"/>
  <c r="T74" i="26"/>
  <c r="U74" i="26" s="1"/>
  <c r="S74" i="26"/>
  <c r="W73" i="26"/>
  <c r="X73" i="26" s="1"/>
  <c r="V73" i="26"/>
  <c r="U73" i="26"/>
  <c r="T73" i="26"/>
  <c r="S73" i="26"/>
  <c r="W72" i="26"/>
  <c r="X72" i="26" s="1"/>
  <c r="V72" i="26"/>
  <c r="U72" i="26"/>
  <c r="T72" i="26"/>
  <c r="S72" i="26"/>
  <c r="W71" i="26"/>
  <c r="X71" i="26" s="1"/>
  <c r="V71" i="26"/>
  <c r="T71" i="26"/>
  <c r="U71" i="26" s="1"/>
  <c r="S71" i="26"/>
  <c r="W70" i="26"/>
  <c r="X70" i="26" s="1"/>
  <c r="V70" i="26"/>
  <c r="T70" i="26"/>
  <c r="U70" i="26" s="1"/>
  <c r="S70" i="26"/>
  <c r="W69" i="26"/>
  <c r="X69" i="26" s="1"/>
  <c r="V69" i="26"/>
  <c r="T69" i="26"/>
  <c r="U69" i="26" s="1"/>
  <c r="S69" i="26"/>
  <c r="X68" i="26"/>
  <c r="W68" i="26"/>
  <c r="V68" i="26"/>
  <c r="U68" i="26"/>
  <c r="T68" i="26"/>
  <c r="S68" i="26"/>
  <c r="W67" i="26"/>
  <c r="X67" i="26" s="1"/>
  <c r="V67" i="26"/>
  <c r="T67" i="26"/>
  <c r="U67" i="26" s="1"/>
  <c r="S67" i="26"/>
  <c r="W66" i="26"/>
  <c r="X66" i="26" s="1"/>
  <c r="V66" i="26"/>
  <c r="T66" i="26"/>
  <c r="U66" i="26" s="1"/>
  <c r="S66" i="26"/>
  <c r="W65" i="26"/>
  <c r="X65" i="26" s="1"/>
  <c r="V65" i="26"/>
  <c r="U65" i="26"/>
  <c r="T65" i="26"/>
  <c r="S65" i="26"/>
  <c r="X64" i="26"/>
  <c r="W64" i="26"/>
  <c r="V64" i="26"/>
  <c r="T64" i="26"/>
  <c r="U64" i="26" s="1"/>
  <c r="S64" i="26"/>
  <c r="W63" i="26"/>
  <c r="X63" i="26" s="1"/>
  <c r="V63" i="26"/>
  <c r="T63" i="26"/>
  <c r="U63" i="26" s="1"/>
  <c r="S63" i="26"/>
  <c r="W62" i="26"/>
  <c r="X62" i="26" s="1"/>
  <c r="V62" i="26"/>
  <c r="T62" i="26"/>
  <c r="U62" i="26" s="1"/>
  <c r="S62" i="26"/>
  <c r="W61" i="26"/>
  <c r="X61" i="26" s="1"/>
  <c r="V61" i="26"/>
  <c r="T61" i="26"/>
  <c r="U61" i="26" s="1"/>
  <c r="S61" i="26"/>
  <c r="W60" i="26"/>
  <c r="X60" i="26" s="1"/>
  <c r="V60" i="26"/>
  <c r="T60" i="26"/>
  <c r="U60" i="26" s="1"/>
  <c r="S60" i="26"/>
  <c r="W59" i="26"/>
  <c r="X59" i="26" s="1"/>
  <c r="V59" i="26"/>
  <c r="T59" i="26"/>
  <c r="U59" i="26" s="1"/>
  <c r="S59" i="26"/>
  <c r="W58" i="26"/>
  <c r="X58" i="26" s="1"/>
  <c r="V58" i="26"/>
  <c r="T58" i="26"/>
  <c r="U58" i="26" s="1"/>
  <c r="S58" i="26"/>
  <c r="W57" i="26"/>
  <c r="X57" i="26" s="1"/>
  <c r="V57" i="26"/>
  <c r="T57" i="26"/>
  <c r="U57" i="26" s="1"/>
  <c r="S57" i="26"/>
  <c r="W56" i="26"/>
  <c r="X56" i="26" s="1"/>
  <c r="V56" i="26"/>
  <c r="U56" i="26"/>
  <c r="T56" i="26"/>
  <c r="S56" i="26"/>
  <c r="W55" i="26"/>
  <c r="X55" i="26" s="1"/>
  <c r="V55" i="26"/>
  <c r="T55" i="26"/>
  <c r="U55" i="26" s="1"/>
  <c r="S55" i="26"/>
  <c r="W54" i="26"/>
  <c r="X54" i="26" s="1"/>
  <c r="V54" i="26"/>
  <c r="T54" i="26"/>
  <c r="U54" i="26" s="1"/>
  <c r="S54" i="26"/>
  <c r="W53" i="26"/>
  <c r="X53" i="26" s="1"/>
  <c r="V53" i="26"/>
  <c r="T53" i="26"/>
  <c r="U53" i="26" s="1"/>
  <c r="S53" i="26"/>
  <c r="W52" i="26"/>
  <c r="X52" i="26" s="1"/>
  <c r="V52" i="26"/>
  <c r="U52" i="26"/>
  <c r="T52" i="26"/>
  <c r="S52" i="26"/>
  <c r="W51" i="26"/>
  <c r="X51" i="26" s="1"/>
  <c r="V51" i="26"/>
  <c r="T51" i="26"/>
  <c r="U51" i="26" s="1"/>
  <c r="S51" i="26"/>
  <c r="W50" i="26"/>
  <c r="X50" i="26" s="1"/>
  <c r="V50" i="26"/>
  <c r="T50" i="26"/>
  <c r="U50" i="26" s="1"/>
  <c r="S50" i="26"/>
  <c r="W49" i="26"/>
  <c r="X49" i="26" s="1"/>
  <c r="V49" i="26"/>
  <c r="U49" i="26"/>
  <c r="T49" i="26"/>
  <c r="S49" i="26"/>
  <c r="X48" i="26"/>
  <c r="W48" i="26"/>
  <c r="V48" i="26"/>
  <c r="U48" i="26"/>
  <c r="T48" i="26"/>
  <c r="S48" i="26"/>
  <c r="W47" i="26"/>
  <c r="X47" i="26" s="1"/>
  <c r="V47" i="26"/>
  <c r="T47" i="26"/>
  <c r="U47" i="26" s="1"/>
  <c r="S47" i="26"/>
  <c r="W46" i="26"/>
  <c r="X46" i="26" s="1"/>
  <c r="V46" i="26"/>
  <c r="T46" i="26"/>
  <c r="U46" i="26" s="1"/>
  <c r="S46" i="26"/>
  <c r="W45" i="26"/>
  <c r="X45" i="26" s="1"/>
  <c r="V45" i="26"/>
  <c r="U45" i="26"/>
  <c r="T45" i="26"/>
  <c r="S45" i="26"/>
  <c r="X44" i="26"/>
  <c r="W44" i="26"/>
  <c r="V44" i="26"/>
  <c r="U44" i="26"/>
  <c r="T44" i="26"/>
  <c r="S44" i="26"/>
  <c r="W43" i="26"/>
  <c r="X43" i="26" s="1"/>
  <c r="V43" i="26"/>
  <c r="T43" i="26"/>
  <c r="U43" i="26" s="1"/>
  <c r="S43" i="26"/>
  <c r="W42" i="26"/>
  <c r="X42" i="26" s="1"/>
  <c r="V42" i="26"/>
  <c r="T42" i="26"/>
  <c r="U42" i="26" s="1"/>
  <c r="S42" i="26"/>
  <c r="W41" i="26"/>
  <c r="X41" i="26" s="1"/>
  <c r="V41" i="26"/>
  <c r="T41" i="26"/>
  <c r="U41" i="26" s="1"/>
  <c r="S41" i="26"/>
  <c r="W40" i="26"/>
  <c r="X40" i="26" s="1"/>
  <c r="V40" i="26"/>
  <c r="U40" i="26"/>
  <c r="T40" i="26"/>
  <c r="S40" i="26"/>
  <c r="W39" i="26"/>
  <c r="X39" i="26" s="1"/>
  <c r="V39" i="26"/>
  <c r="T39" i="26"/>
  <c r="U39" i="26" s="1"/>
  <c r="S39" i="26"/>
  <c r="W38" i="26"/>
  <c r="X38" i="26" s="1"/>
  <c r="V38" i="26"/>
  <c r="T38" i="26"/>
  <c r="U38" i="26" s="1"/>
  <c r="S38" i="26"/>
  <c r="W37" i="26"/>
  <c r="X37" i="26" s="1"/>
  <c r="V37" i="26"/>
  <c r="T37" i="26"/>
  <c r="U37" i="26" s="1"/>
  <c r="S37" i="26"/>
  <c r="W36" i="26"/>
  <c r="X36" i="26" s="1"/>
  <c r="V36" i="26"/>
  <c r="T36" i="26"/>
  <c r="U36" i="26" s="1"/>
  <c r="S36" i="26"/>
  <c r="W35" i="26"/>
  <c r="X35" i="26" s="1"/>
  <c r="V35" i="26"/>
  <c r="T35" i="26"/>
  <c r="U35" i="26" s="1"/>
  <c r="S35" i="26"/>
  <c r="W34" i="26"/>
  <c r="X34" i="26" s="1"/>
  <c r="V34" i="26"/>
  <c r="T34" i="26"/>
  <c r="U34" i="26" s="1"/>
  <c r="S34" i="26"/>
  <c r="W33" i="26"/>
  <c r="X33" i="26" s="1"/>
  <c r="V33" i="26"/>
  <c r="T33" i="26"/>
  <c r="U33" i="26" s="1"/>
  <c r="S33" i="26"/>
  <c r="X32" i="26"/>
  <c r="W32" i="26"/>
  <c r="V32" i="26"/>
  <c r="U32" i="26"/>
  <c r="T32" i="26"/>
  <c r="S32" i="26"/>
  <c r="W31" i="26"/>
  <c r="X31" i="26" s="1"/>
  <c r="V31" i="26"/>
  <c r="T31" i="26"/>
  <c r="U31" i="26" s="1"/>
  <c r="S31" i="26"/>
  <c r="W30" i="26"/>
  <c r="X30" i="26" s="1"/>
  <c r="V30" i="26"/>
  <c r="T30" i="26"/>
  <c r="U30" i="26" s="1"/>
  <c r="S30" i="26"/>
  <c r="W29" i="26"/>
  <c r="X29" i="26" s="1"/>
  <c r="V29" i="26"/>
  <c r="T29" i="26"/>
  <c r="U29" i="26" s="1"/>
  <c r="S29" i="26"/>
  <c r="W28" i="26"/>
  <c r="X28" i="26" s="1"/>
  <c r="V28" i="26"/>
  <c r="T28" i="26"/>
  <c r="U28" i="26" s="1"/>
  <c r="S28" i="26"/>
  <c r="W27" i="26"/>
  <c r="X27" i="26" s="1"/>
  <c r="V27" i="26"/>
  <c r="T27" i="26"/>
  <c r="U27" i="26" s="1"/>
  <c r="S27" i="26"/>
  <c r="W26" i="26"/>
  <c r="X26" i="26" s="1"/>
  <c r="V26" i="26"/>
  <c r="T26" i="26"/>
  <c r="U26" i="26" s="1"/>
  <c r="S26" i="26"/>
  <c r="W25" i="26"/>
  <c r="X25" i="26" s="1"/>
  <c r="V25" i="26"/>
  <c r="T25" i="26"/>
  <c r="U25" i="26" s="1"/>
  <c r="S25" i="26"/>
  <c r="W24" i="26"/>
  <c r="X24" i="26" s="1"/>
  <c r="V24" i="26"/>
  <c r="T24" i="26"/>
  <c r="U24" i="26" s="1"/>
  <c r="S24" i="26"/>
  <c r="W23" i="26"/>
  <c r="X23" i="26" s="1"/>
  <c r="V23" i="26"/>
  <c r="T23" i="26"/>
  <c r="U23" i="26" s="1"/>
  <c r="S23" i="26"/>
  <c r="W22" i="26"/>
  <c r="X22" i="26" s="1"/>
  <c r="V22" i="26"/>
  <c r="T22" i="26"/>
  <c r="U22" i="26" s="1"/>
  <c r="S22" i="26"/>
  <c r="W21" i="26"/>
  <c r="X21" i="26" s="1"/>
  <c r="V21" i="26"/>
  <c r="T21" i="26"/>
  <c r="U21" i="26" s="1"/>
  <c r="S21" i="26"/>
  <c r="W20" i="26"/>
  <c r="X20" i="26" s="1"/>
  <c r="V20" i="26"/>
  <c r="T20" i="26"/>
  <c r="U20" i="26" s="1"/>
  <c r="S20" i="26"/>
  <c r="W19" i="26"/>
  <c r="X19" i="26" s="1"/>
  <c r="V19" i="26"/>
  <c r="T19" i="26"/>
  <c r="U19" i="26" s="1"/>
  <c r="S19" i="26"/>
  <c r="W18" i="26"/>
  <c r="X18" i="26" s="1"/>
  <c r="V18" i="26"/>
  <c r="T18" i="26"/>
  <c r="U18" i="26" s="1"/>
  <c r="S18" i="26"/>
  <c r="W17" i="26"/>
  <c r="X17" i="26" s="1"/>
  <c r="V17" i="26"/>
  <c r="T17" i="26"/>
  <c r="U17" i="26" s="1"/>
  <c r="S17" i="26"/>
  <c r="X16" i="26"/>
  <c r="W16" i="26"/>
  <c r="V16" i="26"/>
  <c r="T16" i="26"/>
  <c r="U16" i="26" s="1"/>
  <c r="S16" i="26"/>
  <c r="W15" i="26"/>
  <c r="X15" i="26" s="1"/>
  <c r="V15" i="26"/>
  <c r="T15" i="26"/>
  <c r="U15" i="26" s="1"/>
  <c r="S15" i="26"/>
  <c r="W14" i="26"/>
  <c r="X14" i="26" s="1"/>
  <c r="V14" i="26"/>
  <c r="T14" i="26"/>
  <c r="U14" i="26" s="1"/>
  <c r="S14" i="26"/>
  <c r="W13" i="26"/>
  <c r="X13" i="26" s="1"/>
  <c r="V13" i="26"/>
  <c r="T13" i="26"/>
  <c r="U13" i="26" s="1"/>
  <c r="S13" i="26"/>
  <c r="X12" i="26"/>
  <c r="W12" i="26"/>
  <c r="V12" i="26"/>
  <c r="T12" i="26"/>
  <c r="U12" i="26" s="1"/>
  <c r="S12" i="26"/>
  <c r="W11" i="26"/>
  <c r="X11" i="26" s="1"/>
  <c r="V11" i="26"/>
  <c r="U11" i="26"/>
  <c r="T11" i="26"/>
  <c r="S11" i="26"/>
  <c r="W10" i="26"/>
  <c r="X10" i="26" s="1"/>
  <c r="V10" i="26"/>
  <c r="T10" i="26"/>
  <c r="U10" i="26" s="1"/>
  <c r="S10" i="26"/>
  <c r="W9" i="26"/>
  <c r="X9" i="26" s="1"/>
  <c r="V9" i="26"/>
  <c r="T9" i="26"/>
  <c r="U9" i="26" s="1"/>
  <c r="S9" i="26"/>
  <c r="X8" i="26"/>
  <c r="W8" i="26"/>
  <c r="V8" i="26"/>
  <c r="U8" i="26"/>
  <c r="T8" i="26"/>
  <c r="S8" i="26"/>
  <c r="W7" i="26"/>
  <c r="X7" i="26" s="1"/>
  <c r="V7" i="26"/>
  <c r="T7" i="26"/>
  <c r="U7" i="26" s="1"/>
  <c r="S7" i="26"/>
  <c r="W6" i="26"/>
  <c r="X6" i="26" s="1"/>
  <c r="V6" i="26"/>
  <c r="T6" i="26"/>
  <c r="U6" i="26" s="1"/>
  <c r="S6" i="26"/>
  <c r="W5" i="26"/>
  <c r="X5" i="26" s="1"/>
  <c r="V5" i="26"/>
  <c r="T5" i="26"/>
  <c r="U5" i="26" s="1"/>
  <c r="S5" i="26"/>
  <c r="X4" i="26"/>
  <c r="W4" i="26"/>
  <c r="V4" i="26"/>
  <c r="T4" i="26"/>
  <c r="U4" i="26" s="1"/>
  <c r="S4" i="26"/>
  <c r="W3" i="26"/>
  <c r="X3" i="26" s="1"/>
  <c r="V3" i="26"/>
  <c r="T3" i="26"/>
  <c r="U3" i="26" s="1"/>
  <c r="S3" i="26"/>
  <c r="E1" i="26"/>
  <c r="W74" i="25"/>
  <c r="X74" i="25" s="1"/>
  <c r="V74" i="25"/>
  <c r="T74" i="25"/>
  <c r="U74" i="25" s="1"/>
  <c r="S74" i="25"/>
  <c r="W73" i="25"/>
  <c r="X73" i="25" s="1"/>
  <c r="V73" i="25"/>
  <c r="U73" i="25"/>
  <c r="T73" i="25"/>
  <c r="S73" i="25"/>
  <c r="W72" i="25"/>
  <c r="X72" i="25" s="1"/>
  <c r="V72" i="25"/>
  <c r="T72" i="25"/>
  <c r="U72" i="25" s="1"/>
  <c r="S72" i="25"/>
  <c r="W71" i="25"/>
  <c r="X71" i="25" s="1"/>
  <c r="V71" i="25"/>
  <c r="U71" i="25"/>
  <c r="T71" i="25"/>
  <c r="S71" i="25"/>
  <c r="W70" i="25"/>
  <c r="X70" i="25" s="1"/>
  <c r="V70" i="25"/>
  <c r="T70" i="25"/>
  <c r="U70" i="25" s="1"/>
  <c r="S70" i="25"/>
  <c r="W69" i="25"/>
  <c r="X69" i="25" s="1"/>
  <c r="V69" i="25"/>
  <c r="U69" i="25"/>
  <c r="T69" i="25"/>
  <c r="S69" i="25"/>
  <c r="W68" i="25"/>
  <c r="X68" i="25" s="1"/>
  <c r="V68" i="25"/>
  <c r="T68" i="25"/>
  <c r="U68" i="25" s="1"/>
  <c r="S68" i="25"/>
  <c r="W67" i="25"/>
  <c r="X67" i="25" s="1"/>
  <c r="V67" i="25"/>
  <c r="U67" i="25"/>
  <c r="T67" i="25"/>
  <c r="S67" i="25"/>
  <c r="W154" i="25"/>
  <c r="X154" i="25" s="1"/>
  <c r="V154" i="25"/>
  <c r="T154" i="25"/>
  <c r="U154" i="25" s="1"/>
  <c r="S154" i="25"/>
  <c r="W153" i="25"/>
  <c r="X153" i="25" s="1"/>
  <c r="V153" i="25"/>
  <c r="T153" i="25"/>
  <c r="U153" i="25" s="1"/>
  <c r="S153" i="25"/>
  <c r="W152" i="25"/>
  <c r="X152" i="25" s="1"/>
  <c r="V152" i="25"/>
  <c r="T152" i="25"/>
  <c r="U152" i="25" s="1"/>
  <c r="S152" i="25"/>
  <c r="W151" i="25"/>
  <c r="X151" i="25" s="1"/>
  <c r="V151" i="25"/>
  <c r="T151" i="25"/>
  <c r="U151" i="25" s="1"/>
  <c r="S151" i="25"/>
  <c r="W150" i="25"/>
  <c r="X150" i="25" s="1"/>
  <c r="V150" i="25"/>
  <c r="T150" i="25"/>
  <c r="U150" i="25" s="1"/>
  <c r="S150" i="25"/>
  <c r="W149" i="25"/>
  <c r="X149" i="25" s="1"/>
  <c r="V149" i="25"/>
  <c r="T149" i="25"/>
  <c r="U149" i="25" s="1"/>
  <c r="S149" i="25"/>
  <c r="W148" i="25"/>
  <c r="X148" i="25" s="1"/>
  <c r="V148" i="25"/>
  <c r="T148" i="25"/>
  <c r="U148" i="25" s="1"/>
  <c r="S148" i="25"/>
  <c r="W147" i="25"/>
  <c r="X147" i="25" s="1"/>
  <c r="V147" i="25"/>
  <c r="U147" i="25"/>
  <c r="T147" i="25"/>
  <c r="S147" i="25"/>
  <c r="W146" i="25"/>
  <c r="X146" i="25" s="1"/>
  <c r="V146" i="25"/>
  <c r="T146" i="25"/>
  <c r="U146" i="25" s="1"/>
  <c r="S146" i="25"/>
  <c r="W145" i="25"/>
  <c r="X145" i="25" s="1"/>
  <c r="V145" i="25"/>
  <c r="T145" i="25"/>
  <c r="U145" i="25" s="1"/>
  <c r="S145" i="25"/>
  <c r="W144" i="25"/>
  <c r="X144" i="25" s="1"/>
  <c r="V144" i="25"/>
  <c r="T144" i="25"/>
  <c r="U144" i="25" s="1"/>
  <c r="S144" i="25"/>
  <c r="W143" i="25"/>
  <c r="X143" i="25" s="1"/>
  <c r="V143" i="25"/>
  <c r="T143" i="25"/>
  <c r="U143" i="25" s="1"/>
  <c r="S143" i="25"/>
  <c r="W142" i="25"/>
  <c r="X142" i="25" s="1"/>
  <c r="V142" i="25"/>
  <c r="T142" i="25"/>
  <c r="U142" i="25" s="1"/>
  <c r="S142" i="25"/>
  <c r="W141" i="25"/>
  <c r="X141" i="25" s="1"/>
  <c r="V141" i="25"/>
  <c r="U141" i="25"/>
  <c r="T141" i="25"/>
  <c r="S141" i="25"/>
  <c r="W140" i="25"/>
  <c r="X140" i="25" s="1"/>
  <c r="V140" i="25"/>
  <c r="T140" i="25"/>
  <c r="U140" i="25" s="1"/>
  <c r="S140" i="25"/>
  <c r="W139" i="25"/>
  <c r="X139" i="25" s="1"/>
  <c r="V139" i="25"/>
  <c r="U139" i="25"/>
  <c r="T139" i="25"/>
  <c r="S139" i="25"/>
  <c r="W138" i="25"/>
  <c r="X138" i="25" s="1"/>
  <c r="V138" i="25"/>
  <c r="T138" i="25"/>
  <c r="U138" i="25" s="1"/>
  <c r="S138" i="25"/>
  <c r="W137" i="25"/>
  <c r="X137" i="25" s="1"/>
  <c r="V137" i="25"/>
  <c r="T137" i="25"/>
  <c r="U137" i="25" s="1"/>
  <c r="S137" i="25"/>
  <c r="W136" i="25"/>
  <c r="X136" i="25" s="1"/>
  <c r="V136" i="25"/>
  <c r="T136" i="25"/>
  <c r="U136" i="25" s="1"/>
  <c r="S136" i="25"/>
  <c r="W135" i="25"/>
  <c r="X135" i="25" s="1"/>
  <c r="V135" i="25"/>
  <c r="T135" i="25"/>
  <c r="U135" i="25" s="1"/>
  <c r="S135" i="25"/>
  <c r="W134" i="25"/>
  <c r="X134" i="25" s="1"/>
  <c r="V134" i="25"/>
  <c r="T134" i="25"/>
  <c r="U134" i="25" s="1"/>
  <c r="S134" i="25"/>
  <c r="W133" i="25"/>
  <c r="X133" i="25" s="1"/>
  <c r="V133" i="25"/>
  <c r="T133" i="25"/>
  <c r="U133" i="25" s="1"/>
  <c r="S133" i="25"/>
  <c r="W132" i="25"/>
  <c r="X132" i="25" s="1"/>
  <c r="V132" i="25"/>
  <c r="T132" i="25"/>
  <c r="U132" i="25" s="1"/>
  <c r="S132" i="25"/>
  <c r="W131" i="25"/>
  <c r="X131" i="25" s="1"/>
  <c r="V131" i="25"/>
  <c r="T131" i="25"/>
  <c r="U131" i="25" s="1"/>
  <c r="S131" i="25"/>
  <c r="W130" i="25"/>
  <c r="X130" i="25" s="1"/>
  <c r="V130" i="25"/>
  <c r="T130" i="25"/>
  <c r="U130" i="25" s="1"/>
  <c r="S130" i="25"/>
  <c r="W129" i="25"/>
  <c r="X129" i="25" s="1"/>
  <c r="V129" i="25"/>
  <c r="T129" i="25"/>
  <c r="U129" i="25" s="1"/>
  <c r="S129" i="25"/>
  <c r="W128" i="25"/>
  <c r="X128" i="25" s="1"/>
  <c r="V128" i="25"/>
  <c r="T128" i="25"/>
  <c r="U128" i="25" s="1"/>
  <c r="S128" i="25"/>
  <c r="W127" i="25"/>
  <c r="X127" i="25" s="1"/>
  <c r="V127" i="25"/>
  <c r="T127" i="25"/>
  <c r="U127" i="25" s="1"/>
  <c r="S127" i="25"/>
  <c r="W126" i="25"/>
  <c r="X126" i="25" s="1"/>
  <c r="V126" i="25"/>
  <c r="T126" i="25"/>
  <c r="U126" i="25" s="1"/>
  <c r="S126" i="25"/>
  <c r="W125" i="25"/>
  <c r="X125" i="25" s="1"/>
  <c r="V125" i="25"/>
  <c r="T125" i="25"/>
  <c r="U125" i="25" s="1"/>
  <c r="S125" i="25"/>
  <c r="W124" i="25"/>
  <c r="X124" i="25" s="1"/>
  <c r="V124" i="25"/>
  <c r="T124" i="25"/>
  <c r="U124" i="25" s="1"/>
  <c r="S124" i="25"/>
  <c r="W123" i="25"/>
  <c r="X123" i="25" s="1"/>
  <c r="V123" i="25"/>
  <c r="T123" i="25"/>
  <c r="U123" i="25" s="1"/>
  <c r="S123" i="25"/>
  <c r="W122" i="25"/>
  <c r="X122" i="25" s="1"/>
  <c r="V122" i="25"/>
  <c r="T122" i="25"/>
  <c r="U122" i="25" s="1"/>
  <c r="S122" i="25"/>
  <c r="W121" i="25"/>
  <c r="X121" i="25" s="1"/>
  <c r="V121" i="25"/>
  <c r="T121" i="25"/>
  <c r="U121" i="25" s="1"/>
  <c r="S121" i="25"/>
  <c r="W120" i="25"/>
  <c r="X120" i="25" s="1"/>
  <c r="V120" i="25"/>
  <c r="T120" i="25"/>
  <c r="U120" i="25" s="1"/>
  <c r="S120" i="25"/>
  <c r="W119" i="25"/>
  <c r="X119" i="25" s="1"/>
  <c r="V119" i="25"/>
  <c r="T119" i="25"/>
  <c r="U119" i="25" s="1"/>
  <c r="S119" i="25"/>
  <c r="W118" i="25"/>
  <c r="X118" i="25" s="1"/>
  <c r="V118" i="25"/>
  <c r="T118" i="25"/>
  <c r="U118" i="25" s="1"/>
  <c r="S118" i="25"/>
  <c r="W117" i="25"/>
  <c r="X117" i="25" s="1"/>
  <c r="V117" i="25"/>
  <c r="T117" i="25"/>
  <c r="U117" i="25" s="1"/>
  <c r="S117" i="25"/>
  <c r="W116" i="25"/>
  <c r="X116" i="25" s="1"/>
  <c r="V116" i="25"/>
  <c r="T116" i="25"/>
  <c r="U116" i="25" s="1"/>
  <c r="S116" i="25"/>
  <c r="W115" i="25"/>
  <c r="X115" i="25" s="1"/>
  <c r="V115" i="25"/>
  <c r="T115" i="25"/>
  <c r="U115" i="25" s="1"/>
  <c r="S115" i="25"/>
  <c r="W114" i="25"/>
  <c r="X114" i="25" s="1"/>
  <c r="V114" i="25"/>
  <c r="T114" i="25"/>
  <c r="U114" i="25" s="1"/>
  <c r="S114" i="25"/>
  <c r="W113" i="25"/>
  <c r="X113" i="25" s="1"/>
  <c r="V113" i="25"/>
  <c r="T113" i="25"/>
  <c r="U113" i="25" s="1"/>
  <c r="S113" i="25"/>
  <c r="W112" i="25"/>
  <c r="X112" i="25" s="1"/>
  <c r="V112" i="25"/>
  <c r="T112" i="25"/>
  <c r="U112" i="25" s="1"/>
  <c r="S112" i="25"/>
  <c r="W111" i="25"/>
  <c r="X111" i="25" s="1"/>
  <c r="V111" i="25"/>
  <c r="T111" i="25"/>
  <c r="U111" i="25" s="1"/>
  <c r="S111" i="25"/>
  <c r="W110" i="25"/>
  <c r="X110" i="25" s="1"/>
  <c r="V110" i="25"/>
  <c r="T110" i="25"/>
  <c r="U110" i="25" s="1"/>
  <c r="S110" i="25"/>
  <c r="W109" i="25"/>
  <c r="X109" i="25" s="1"/>
  <c r="V109" i="25"/>
  <c r="T109" i="25"/>
  <c r="U109" i="25" s="1"/>
  <c r="S109" i="25"/>
  <c r="W108" i="25"/>
  <c r="X108" i="25" s="1"/>
  <c r="V108" i="25"/>
  <c r="T108" i="25"/>
  <c r="U108" i="25" s="1"/>
  <c r="S108" i="25"/>
  <c r="W107" i="25"/>
  <c r="X107" i="25" s="1"/>
  <c r="V107" i="25"/>
  <c r="T107" i="25"/>
  <c r="U107" i="25" s="1"/>
  <c r="S107" i="25"/>
  <c r="W106" i="25"/>
  <c r="X106" i="25" s="1"/>
  <c r="V106" i="25"/>
  <c r="T106" i="25"/>
  <c r="U106" i="25" s="1"/>
  <c r="S106" i="25"/>
  <c r="W105" i="25"/>
  <c r="X105" i="25" s="1"/>
  <c r="V105" i="25"/>
  <c r="T105" i="25"/>
  <c r="U105" i="25" s="1"/>
  <c r="S105" i="25"/>
  <c r="W104" i="25"/>
  <c r="X104" i="25" s="1"/>
  <c r="V104" i="25"/>
  <c r="T104" i="25"/>
  <c r="U104" i="25" s="1"/>
  <c r="S104" i="25"/>
  <c r="W103" i="25"/>
  <c r="X103" i="25" s="1"/>
  <c r="V103" i="25"/>
  <c r="T103" i="25"/>
  <c r="U103" i="25" s="1"/>
  <c r="S103" i="25"/>
  <c r="W102" i="25"/>
  <c r="X102" i="25" s="1"/>
  <c r="V102" i="25"/>
  <c r="T102" i="25"/>
  <c r="U102" i="25" s="1"/>
  <c r="S102" i="25"/>
  <c r="W101" i="25"/>
  <c r="X101" i="25" s="1"/>
  <c r="V101" i="25"/>
  <c r="T101" i="25"/>
  <c r="U101" i="25" s="1"/>
  <c r="S101" i="25"/>
  <c r="W100" i="25"/>
  <c r="X100" i="25" s="1"/>
  <c r="V100" i="25"/>
  <c r="T100" i="25"/>
  <c r="U100" i="25" s="1"/>
  <c r="S100" i="25"/>
  <c r="W99" i="25"/>
  <c r="X99" i="25" s="1"/>
  <c r="V99" i="25"/>
  <c r="T99" i="25"/>
  <c r="U99" i="25" s="1"/>
  <c r="S99" i="25"/>
  <c r="W98" i="25"/>
  <c r="X98" i="25" s="1"/>
  <c r="V98" i="25"/>
  <c r="T98" i="25"/>
  <c r="U98" i="25" s="1"/>
  <c r="S98" i="25"/>
  <c r="W97" i="25"/>
  <c r="X97" i="25" s="1"/>
  <c r="V97" i="25"/>
  <c r="T97" i="25"/>
  <c r="U97" i="25" s="1"/>
  <c r="S97" i="25"/>
  <c r="W96" i="25"/>
  <c r="X96" i="25" s="1"/>
  <c r="V96" i="25"/>
  <c r="T96" i="25"/>
  <c r="U96" i="25" s="1"/>
  <c r="S96" i="25"/>
  <c r="W95" i="25"/>
  <c r="X95" i="25" s="1"/>
  <c r="V95" i="25"/>
  <c r="T95" i="25"/>
  <c r="U95" i="25" s="1"/>
  <c r="S95" i="25"/>
  <c r="W94" i="25"/>
  <c r="X94" i="25" s="1"/>
  <c r="V94" i="25"/>
  <c r="T94" i="25"/>
  <c r="U94" i="25" s="1"/>
  <c r="S94" i="25"/>
  <c r="W93" i="25"/>
  <c r="X93" i="25" s="1"/>
  <c r="V93" i="25"/>
  <c r="T93" i="25"/>
  <c r="U93" i="25" s="1"/>
  <c r="S93" i="25"/>
  <c r="W92" i="25"/>
  <c r="X92" i="25" s="1"/>
  <c r="V92" i="25"/>
  <c r="T92" i="25"/>
  <c r="U92" i="25" s="1"/>
  <c r="S92" i="25"/>
  <c r="W91" i="25"/>
  <c r="X91" i="25" s="1"/>
  <c r="V91" i="25"/>
  <c r="T91" i="25"/>
  <c r="U91" i="25" s="1"/>
  <c r="S91" i="25"/>
  <c r="W90" i="25"/>
  <c r="X90" i="25" s="1"/>
  <c r="V90" i="25"/>
  <c r="T90" i="25"/>
  <c r="U90" i="25" s="1"/>
  <c r="S90" i="25"/>
  <c r="W89" i="25"/>
  <c r="X89" i="25" s="1"/>
  <c r="V89" i="25"/>
  <c r="T89" i="25"/>
  <c r="U89" i="25" s="1"/>
  <c r="S89" i="25"/>
  <c r="W88" i="25"/>
  <c r="X88" i="25" s="1"/>
  <c r="V88" i="25"/>
  <c r="T88" i="25"/>
  <c r="U88" i="25" s="1"/>
  <c r="S88" i="25"/>
  <c r="W87" i="25"/>
  <c r="X87" i="25" s="1"/>
  <c r="V87" i="25"/>
  <c r="T87" i="25"/>
  <c r="U87" i="25" s="1"/>
  <c r="S87" i="25"/>
  <c r="W86" i="25"/>
  <c r="X86" i="25" s="1"/>
  <c r="V86" i="25"/>
  <c r="T86" i="25"/>
  <c r="U86" i="25" s="1"/>
  <c r="S86" i="25"/>
  <c r="W85" i="25"/>
  <c r="X85" i="25" s="1"/>
  <c r="V85" i="25"/>
  <c r="T85" i="25"/>
  <c r="U85" i="25" s="1"/>
  <c r="S85" i="25"/>
  <c r="W84" i="25"/>
  <c r="X84" i="25" s="1"/>
  <c r="V84" i="25"/>
  <c r="T84" i="25"/>
  <c r="U84" i="25" s="1"/>
  <c r="S84" i="25"/>
  <c r="W83" i="25"/>
  <c r="X83" i="25" s="1"/>
  <c r="V83" i="25"/>
  <c r="T83" i="25"/>
  <c r="U83" i="25" s="1"/>
  <c r="S83" i="25"/>
  <c r="W82" i="25"/>
  <c r="X82" i="25" s="1"/>
  <c r="V82" i="25"/>
  <c r="T82" i="25"/>
  <c r="U82" i="25" s="1"/>
  <c r="S82" i="25"/>
  <c r="W81" i="25"/>
  <c r="X81" i="25" s="1"/>
  <c r="V81" i="25"/>
  <c r="T81" i="25"/>
  <c r="U81" i="25" s="1"/>
  <c r="S81" i="25"/>
  <c r="W80" i="25"/>
  <c r="X80" i="25" s="1"/>
  <c r="V80" i="25"/>
  <c r="T80" i="25"/>
  <c r="U80" i="25" s="1"/>
  <c r="S80" i="25"/>
  <c r="W79" i="25"/>
  <c r="X79" i="25" s="1"/>
  <c r="V79" i="25"/>
  <c r="T79" i="25"/>
  <c r="U79" i="25" s="1"/>
  <c r="S79" i="25"/>
  <c r="W78" i="25"/>
  <c r="X78" i="25" s="1"/>
  <c r="V78" i="25"/>
  <c r="T78" i="25"/>
  <c r="U78" i="25" s="1"/>
  <c r="S78" i="25"/>
  <c r="W77" i="25"/>
  <c r="X77" i="25" s="1"/>
  <c r="V77" i="25"/>
  <c r="T77" i="25"/>
  <c r="U77" i="25" s="1"/>
  <c r="S77" i="25"/>
  <c r="W76" i="25"/>
  <c r="X76" i="25" s="1"/>
  <c r="V76" i="25"/>
  <c r="T76" i="25"/>
  <c r="U76" i="25" s="1"/>
  <c r="S76" i="25"/>
  <c r="W75" i="25"/>
  <c r="X75" i="25" s="1"/>
  <c r="V75" i="25"/>
  <c r="T75" i="25"/>
  <c r="U75" i="25" s="1"/>
  <c r="S75" i="25"/>
  <c r="W66" i="25"/>
  <c r="X66" i="25" s="1"/>
  <c r="V66" i="25"/>
  <c r="T66" i="25"/>
  <c r="U66" i="25" s="1"/>
  <c r="S66" i="25"/>
  <c r="W65" i="25"/>
  <c r="X65" i="25" s="1"/>
  <c r="V65" i="25"/>
  <c r="T65" i="25"/>
  <c r="U65" i="25" s="1"/>
  <c r="S65" i="25"/>
  <c r="W64" i="25"/>
  <c r="X64" i="25" s="1"/>
  <c r="V64" i="25"/>
  <c r="T64" i="25"/>
  <c r="U64" i="25" s="1"/>
  <c r="S64" i="25"/>
  <c r="W63" i="25"/>
  <c r="X63" i="25" s="1"/>
  <c r="V63" i="25"/>
  <c r="T63" i="25"/>
  <c r="U63" i="25" s="1"/>
  <c r="S63" i="25"/>
  <c r="W62" i="25"/>
  <c r="X62" i="25" s="1"/>
  <c r="V62" i="25"/>
  <c r="T62" i="25"/>
  <c r="U62" i="25" s="1"/>
  <c r="S62" i="25"/>
  <c r="W61" i="25"/>
  <c r="X61" i="25" s="1"/>
  <c r="V61" i="25"/>
  <c r="T61" i="25"/>
  <c r="U61" i="25" s="1"/>
  <c r="S61" i="25"/>
  <c r="W60" i="25"/>
  <c r="X60" i="25" s="1"/>
  <c r="V60" i="25"/>
  <c r="T60" i="25"/>
  <c r="U60" i="25" s="1"/>
  <c r="S60" i="25"/>
  <c r="W59" i="25"/>
  <c r="X59" i="25" s="1"/>
  <c r="V59" i="25"/>
  <c r="T59" i="25"/>
  <c r="U59" i="25" s="1"/>
  <c r="S59" i="25"/>
  <c r="W58" i="25"/>
  <c r="X58" i="25" s="1"/>
  <c r="V58" i="25"/>
  <c r="T58" i="25"/>
  <c r="U58" i="25" s="1"/>
  <c r="S58" i="25"/>
  <c r="W57" i="25"/>
  <c r="X57" i="25" s="1"/>
  <c r="V57" i="25"/>
  <c r="T57" i="25"/>
  <c r="U57" i="25" s="1"/>
  <c r="S57" i="25"/>
  <c r="W56" i="25"/>
  <c r="X56" i="25" s="1"/>
  <c r="V56" i="25"/>
  <c r="T56" i="25"/>
  <c r="U56" i="25" s="1"/>
  <c r="S56" i="25"/>
  <c r="W55" i="25"/>
  <c r="X55" i="25" s="1"/>
  <c r="V55" i="25"/>
  <c r="T55" i="25"/>
  <c r="U55" i="25" s="1"/>
  <c r="S55" i="25"/>
  <c r="W54" i="25"/>
  <c r="X54" i="25" s="1"/>
  <c r="V54" i="25"/>
  <c r="T54" i="25"/>
  <c r="U54" i="25" s="1"/>
  <c r="S54" i="25"/>
  <c r="W53" i="25"/>
  <c r="X53" i="25" s="1"/>
  <c r="V53" i="25"/>
  <c r="T53" i="25"/>
  <c r="U53" i="25" s="1"/>
  <c r="S53" i="25"/>
  <c r="W52" i="25"/>
  <c r="X52" i="25" s="1"/>
  <c r="V52" i="25"/>
  <c r="T52" i="25"/>
  <c r="U52" i="25" s="1"/>
  <c r="S52" i="25"/>
  <c r="W51" i="25"/>
  <c r="X51" i="25" s="1"/>
  <c r="V51" i="25"/>
  <c r="T51" i="25"/>
  <c r="U51" i="25" s="1"/>
  <c r="S51" i="25"/>
  <c r="W50" i="25"/>
  <c r="X50" i="25" s="1"/>
  <c r="V50" i="25"/>
  <c r="T50" i="25"/>
  <c r="U50" i="25" s="1"/>
  <c r="S50" i="25"/>
  <c r="W49" i="25"/>
  <c r="X49" i="25" s="1"/>
  <c r="V49" i="25"/>
  <c r="T49" i="25"/>
  <c r="U49" i="25" s="1"/>
  <c r="S49" i="25"/>
  <c r="W48" i="25"/>
  <c r="X48" i="25" s="1"/>
  <c r="V48" i="25"/>
  <c r="T48" i="25"/>
  <c r="U48" i="25" s="1"/>
  <c r="S48" i="25"/>
  <c r="W47" i="25"/>
  <c r="X47" i="25" s="1"/>
  <c r="V47" i="25"/>
  <c r="T47" i="25"/>
  <c r="U47" i="25" s="1"/>
  <c r="S47" i="25"/>
  <c r="W46" i="25"/>
  <c r="X46" i="25" s="1"/>
  <c r="V46" i="25"/>
  <c r="T46" i="25"/>
  <c r="U46" i="25" s="1"/>
  <c r="S46" i="25"/>
  <c r="W45" i="25"/>
  <c r="X45" i="25" s="1"/>
  <c r="V45" i="25"/>
  <c r="T45" i="25"/>
  <c r="U45" i="25" s="1"/>
  <c r="S45" i="25"/>
  <c r="W44" i="25"/>
  <c r="X44" i="25" s="1"/>
  <c r="V44" i="25"/>
  <c r="T44" i="25"/>
  <c r="U44" i="25" s="1"/>
  <c r="S44" i="25"/>
  <c r="W43" i="25"/>
  <c r="X43" i="25" s="1"/>
  <c r="V43" i="25"/>
  <c r="T43" i="25"/>
  <c r="U43" i="25" s="1"/>
  <c r="S43" i="25"/>
  <c r="W42" i="25"/>
  <c r="X42" i="25" s="1"/>
  <c r="V42" i="25"/>
  <c r="T42" i="25"/>
  <c r="U42" i="25" s="1"/>
  <c r="S42" i="25"/>
  <c r="W41" i="25"/>
  <c r="X41" i="25" s="1"/>
  <c r="V41" i="25"/>
  <c r="T41" i="25"/>
  <c r="U41" i="25" s="1"/>
  <c r="S41" i="25"/>
  <c r="W40" i="25"/>
  <c r="X40" i="25" s="1"/>
  <c r="V40" i="25"/>
  <c r="T40" i="25"/>
  <c r="U40" i="25" s="1"/>
  <c r="S40" i="25"/>
  <c r="W39" i="25"/>
  <c r="X39" i="25" s="1"/>
  <c r="V39" i="25"/>
  <c r="T39" i="25"/>
  <c r="U39" i="25" s="1"/>
  <c r="S39" i="25"/>
  <c r="W38" i="25"/>
  <c r="X38" i="25" s="1"/>
  <c r="V38" i="25"/>
  <c r="T38" i="25"/>
  <c r="U38" i="25" s="1"/>
  <c r="S38" i="25"/>
  <c r="W37" i="25"/>
  <c r="X37" i="25" s="1"/>
  <c r="V37" i="25"/>
  <c r="T37" i="25"/>
  <c r="U37" i="25" s="1"/>
  <c r="S37" i="25"/>
  <c r="W36" i="25"/>
  <c r="X36" i="25" s="1"/>
  <c r="V36" i="25"/>
  <c r="T36" i="25"/>
  <c r="U36" i="25" s="1"/>
  <c r="S36" i="25"/>
  <c r="W35" i="25"/>
  <c r="X35" i="25" s="1"/>
  <c r="V35" i="25"/>
  <c r="T35" i="25"/>
  <c r="U35" i="25" s="1"/>
  <c r="S35" i="25"/>
  <c r="W34" i="25"/>
  <c r="X34" i="25" s="1"/>
  <c r="V34" i="25"/>
  <c r="T34" i="25"/>
  <c r="U34" i="25" s="1"/>
  <c r="S34" i="25"/>
  <c r="W33" i="25"/>
  <c r="X33" i="25" s="1"/>
  <c r="V33" i="25"/>
  <c r="T33" i="25"/>
  <c r="U33" i="25" s="1"/>
  <c r="S33" i="25"/>
  <c r="W32" i="25"/>
  <c r="X32" i="25" s="1"/>
  <c r="V32" i="25"/>
  <c r="T32" i="25"/>
  <c r="U32" i="25" s="1"/>
  <c r="S32" i="25"/>
  <c r="W31" i="25"/>
  <c r="X31" i="25" s="1"/>
  <c r="V31" i="25"/>
  <c r="T31" i="25"/>
  <c r="U31" i="25" s="1"/>
  <c r="S31" i="25"/>
  <c r="W30" i="25"/>
  <c r="X30" i="25" s="1"/>
  <c r="V30" i="25"/>
  <c r="T30" i="25"/>
  <c r="U30" i="25" s="1"/>
  <c r="S30" i="25"/>
  <c r="W29" i="25"/>
  <c r="X29" i="25" s="1"/>
  <c r="V29" i="25"/>
  <c r="T29" i="25"/>
  <c r="U29" i="25" s="1"/>
  <c r="S29" i="25"/>
  <c r="W28" i="25"/>
  <c r="X28" i="25" s="1"/>
  <c r="V28" i="25"/>
  <c r="T28" i="25"/>
  <c r="U28" i="25" s="1"/>
  <c r="S28" i="25"/>
  <c r="W27" i="25"/>
  <c r="X27" i="25" s="1"/>
  <c r="V27" i="25"/>
  <c r="T27" i="25"/>
  <c r="U27" i="25" s="1"/>
  <c r="S27" i="25"/>
  <c r="W26" i="25"/>
  <c r="X26" i="25" s="1"/>
  <c r="V26" i="25"/>
  <c r="T26" i="25"/>
  <c r="U26" i="25" s="1"/>
  <c r="S26" i="25"/>
  <c r="W25" i="25"/>
  <c r="X25" i="25" s="1"/>
  <c r="V25" i="25"/>
  <c r="T25" i="25"/>
  <c r="U25" i="25" s="1"/>
  <c r="S25" i="25"/>
  <c r="W24" i="25"/>
  <c r="X24" i="25" s="1"/>
  <c r="V24" i="25"/>
  <c r="T24" i="25"/>
  <c r="U24" i="25" s="1"/>
  <c r="S24" i="25"/>
  <c r="W23" i="25"/>
  <c r="X23" i="25" s="1"/>
  <c r="V23" i="25"/>
  <c r="T23" i="25"/>
  <c r="U23" i="25" s="1"/>
  <c r="S23" i="25"/>
  <c r="W22" i="25"/>
  <c r="X22" i="25" s="1"/>
  <c r="V22" i="25"/>
  <c r="T22" i="25"/>
  <c r="U22" i="25" s="1"/>
  <c r="S22" i="25"/>
  <c r="W21" i="25"/>
  <c r="X21" i="25" s="1"/>
  <c r="V21" i="25"/>
  <c r="T21" i="25"/>
  <c r="U21" i="25" s="1"/>
  <c r="S21" i="25"/>
  <c r="W20" i="25"/>
  <c r="X20" i="25" s="1"/>
  <c r="V20" i="25"/>
  <c r="T20" i="25"/>
  <c r="U20" i="25" s="1"/>
  <c r="S20" i="25"/>
  <c r="W19" i="25"/>
  <c r="X19" i="25" s="1"/>
  <c r="V19" i="25"/>
  <c r="T19" i="25"/>
  <c r="U19" i="25" s="1"/>
  <c r="S19" i="25"/>
  <c r="W18" i="25"/>
  <c r="X18" i="25" s="1"/>
  <c r="V18" i="25"/>
  <c r="T18" i="25"/>
  <c r="U18" i="25" s="1"/>
  <c r="S18" i="25"/>
  <c r="W17" i="25"/>
  <c r="X17" i="25" s="1"/>
  <c r="V17" i="25"/>
  <c r="T17" i="25"/>
  <c r="U17" i="25" s="1"/>
  <c r="S17" i="25"/>
  <c r="W16" i="25"/>
  <c r="X16" i="25" s="1"/>
  <c r="V16" i="25"/>
  <c r="T16" i="25"/>
  <c r="U16" i="25" s="1"/>
  <c r="S16" i="25"/>
  <c r="W15" i="25"/>
  <c r="X15" i="25" s="1"/>
  <c r="V15" i="25"/>
  <c r="T15" i="25"/>
  <c r="U15" i="25" s="1"/>
  <c r="S15" i="25"/>
  <c r="W14" i="25"/>
  <c r="X14" i="25" s="1"/>
  <c r="V14" i="25"/>
  <c r="T14" i="25"/>
  <c r="U14" i="25" s="1"/>
  <c r="S14" i="25"/>
  <c r="W13" i="25"/>
  <c r="X13" i="25" s="1"/>
  <c r="V13" i="25"/>
  <c r="T13" i="25"/>
  <c r="U13" i="25" s="1"/>
  <c r="S13" i="25"/>
  <c r="W12" i="25"/>
  <c r="X12" i="25" s="1"/>
  <c r="V12" i="25"/>
  <c r="T12" i="25"/>
  <c r="U12" i="25" s="1"/>
  <c r="S12" i="25"/>
  <c r="W11" i="25"/>
  <c r="X11" i="25" s="1"/>
  <c r="V11" i="25"/>
  <c r="T11" i="25"/>
  <c r="U11" i="25" s="1"/>
  <c r="S11" i="25"/>
  <c r="W10" i="25"/>
  <c r="X10" i="25" s="1"/>
  <c r="V10" i="25"/>
  <c r="T10" i="25"/>
  <c r="U10" i="25" s="1"/>
  <c r="S10" i="25"/>
  <c r="W9" i="25"/>
  <c r="X9" i="25" s="1"/>
  <c r="V9" i="25"/>
  <c r="T9" i="25"/>
  <c r="U9" i="25" s="1"/>
  <c r="S9" i="25"/>
  <c r="W8" i="25"/>
  <c r="X8" i="25" s="1"/>
  <c r="V8" i="25"/>
  <c r="T8" i="25"/>
  <c r="U8" i="25" s="1"/>
  <c r="S8" i="25"/>
  <c r="W7" i="25"/>
  <c r="X7" i="25" s="1"/>
  <c r="V7" i="25"/>
  <c r="T7" i="25"/>
  <c r="U7" i="25" s="1"/>
  <c r="S7" i="25"/>
  <c r="W6" i="25"/>
  <c r="X6" i="25" s="1"/>
  <c r="V6" i="25"/>
  <c r="T6" i="25"/>
  <c r="U6" i="25" s="1"/>
  <c r="S6" i="25"/>
  <c r="W5" i="25"/>
  <c r="X5" i="25" s="1"/>
  <c r="V5" i="25"/>
  <c r="T5" i="25"/>
  <c r="U5" i="25" s="1"/>
  <c r="S5" i="25"/>
  <c r="W4" i="25"/>
  <c r="X4" i="25" s="1"/>
  <c r="V4" i="25"/>
  <c r="T4" i="25"/>
  <c r="U4" i="25" s="1"/>
  <c r="S4" i="25"/>
  <c r="W3" i="25"/>
  <c r="X3" i="25" s="1"/>
  <c r="V3" i="25"/>
  <c r="T3" i="25"/>
  <c r="U3" i="25" s="1"/>
  <c r="S3" i="25"/>
  <c r="E1" i="25"/>
  <c r="W34" i="24" l="1"/>
  <c r="X34" i="24" s="1"/>
  <c r="V34" i="24"/>
  <c r="T34" i="24"/>
  <c r="U34" i="24" s="1"/>
  <c r="S34" i="24"/>
  <c r="W33" i="24"/>
  <c r="X33" i="24" s="1"/>
  <c r="V33" i="24"/>
  <c r="T33" i="24"/>
  <c r="U33" i="24" s="1"/>
  <c r="S33" i="24"/>
  <c r="W32" i="24"/>
  <c r="X32" i="24" s="1"/>
  <c r="V32" i="24"/>
  <c r="T32" i="24"/>
  <c r="U32" i="24" s="1"/>
  <c r="S32" i="24"/>
  <c r="W31" i="24"/>
  <c r="X31" i="24" s="1"/>
  <c r="V31" i="24"/>
  <c r="T31" i="24"/>
  <c r="U31" i="24" s="1"/>
  <c r="S31" i="24"/>
  <c r="W30" i="24"/>
  <c r="X30" i="24" s="1"/>
  <c r="V30" i="24"/>
  <c r="T30" i="24"/>
  <c r="U30" i="24" s="1"/>
  <c r="S30" i="24"/>
  <c r="W29" i="24"/>
  <c r="X29" i="24" s="1"/>
  <c r="V29" i="24"/>
  <c r="T29" i="24"/>
  <c r="U29" i="24" s="1"/>
  <c r="S29" i="24"/>
  <c r="W28" i="24"/>
  <c r="X28" i="24" s="1"/>
  <c r="V28" i="24"/>
  <c r="T28" i="24"/>
  <c r="U28" i="24" s="1"/>
  <c r="S28" i="24"/>
  <c r="X27" i="24"/>
  <c r="W27" i="24"/>
  <c r="V27" i="24"/>
  <c r="T27" i="24"/>
  <c r="U27" i="24" s="1"/>
  <c r="S27" i="24"/>
  <c r="W26" i="24"/>
  <c r="X26" i="24" s="1"/>
  <c r="V26" i="24"/>
  <c r="T26" i="24"/>
  <c r="U26" i="24" s="1"/>
  <c r="S26" i="24"/>
  <c r="W25" i="24"/>
  <c r="X25" i="24" s="1"/>
  <c r="V25" i="24"/>
  <c r="U25" i="24"/>
  <c r="T25" i="24"/>
  <c r="S25" i="24"/>
  <c r="X24" i="24"/>
  <c r="W24" i="24"/>
  <c r="V24" i="24"/>
  <c r="T24" i="24"/>
  <c r="U24" i="24" s="1"/>
  <c r="S24" i="24"/>
  <c r="W23" i="24"/>
  <c r="X23" i="24" s="1"/>
  <c r="V23" i="24"/>
  <c r="T23" i="24"/>
  <c r="U23" i="24" s="1"/>
  <c r="S23" i="24"/>
  <c r="W22" i="24"/>
  <c r="X22" i="24" s="1"/>
  <c r="V22" i="24"/>
  <c r="T22" i="24"/>
  <c r="U22" i="24" s="1"/>
  <c r="S22" i="24"/>
  <c r="W21" i="24"/>
  <c r="X21" i="24" s="1"/>
  <c r="V21" i="24"/>
  <c r="T21" i="24"/>
  <c r="U21" i="24" s="1"/>
  <c r="S21" i="24"/>
  <c r="W20" i="24"/>
  <c r="X20" i="24" s="1"/>
  <c r="V20" i="24"/>
  <c r="T20" i="24"/>
  <c r="U20" i="24" s="1"/>
  <c r="S20" i="24"/>
  <c r="X19" i="24"/>
  <c r="W19" i="24"/>
  <c r="V19" i="24"/>
  <c r="T19" i="24"/>
  <c r="U19" i="24" s="1"/>
  <c r="S19" i="24"/>
  <c r="W18" i="24"/>
  <c r="X18" i="24" s="1"/>
  <c r="V18" i="24"/>
  <c r="T18" i="24"/>
  <c r="U18" i="24" s="1"/>
  <c r="S18" i="24"/>
  <c r="W17" i="24"/>
  <c r="X17" i="24" s="1"/>
  <c r="V17" i="24"/>
  <c r="T17" i="24"/>
  <c r="U17" i="24" s="1"/>
  <c r="S17" i="24"/>
  <c r="X16" i="24"/>
  <c r="W16" i="24"/>
  <c r="V16" i="24"/>
  <c r="T16" i="24"/>
  <c r="U16" i="24" s="1"/>
  <c r="S16" i="24"/>
  <c r="W15" i="24"/>
  <c r="X15" i="24" s="1"/>
  <c r="V15" i="24"/>
  <c r="T15" i="24"/>
  <c r="U15" i="24" s="1"/>
  <c r="S15" i="24"/>
  <c r="W14" i="24"/>
  <c r="X14" i="24" s="1"/>
  <c r="V14" i="24"/>
  <c r="T14" i="24"/>
  <c r="U14" i="24" s="1"/>
  <c r="S14" i="24"/>
  <c r="W13" i="24"/>
  <c r="X13" i="24" s="1"/>
  <c r="V13" i="24"/>
  <c r="T13" i="24"/>
  <c r="U13" i="24" s="1"/>
  <c r="S13" i="24"/>
  <c r="W12" i="24"/>
  <c r="X12" i="24" s="1"/>
  <c r="V12" i="24"/>
  <c r="T12" i="24"/>
  <c r="U12" i="24" s="1"/>
  <c r="S12" i="24"/>
  <c r="W11" i="24"/>
  <c r="X11" i="24" s="1"/>
  <c r="V11" i="24"/>
  <c r="T11" i="24"/>
  <c r="U11" i="24" s="1"/>
  <c r="S11" i="24"/>
  <c r="W10" i="24"/>
  <c r="X10" i="24" s="1"/>
  <c r="V10" i="24"/>
  <c r="T10" i="24"/>
  <c r="U10" i="24" s="1"/>
  <c r="S10" i="24"/>
  <c r="W9" i="24"/>
  <c r="X9" i="24" s="1"/>
  <c r="V9" i="24"/>
  <c r="T9" i="24"/>
  <c r="U9" i="24" s="1"/>
  <c r="S9" i="24"/>
  <c r="W8" i="24"/>
  <c r="X8" i="24" s="1"/>
  <c r="V8" i="24"/>
  <c r="T8" i="24"/>
  <c r="U8" i="24" s="1"/>
  <c r="S8" i="24"/>
  <c r="X7" i="24"/>
  <c r="W7" i="24"/>
  <c r="V7" i="24"/>
  <c r="T7" i="24"/>
  <c r="U7" i="24" s="1"/>
  <c r="S7" i="24"/>
  <c r="W6" i="24"/>
  <c r="X6" i="24" s="1"/>
  <c r="V6" i="24"/>
  <c r="T6" i="24"/>
  <c r="U6" i="24" s="1"/>
  <c r="S6" i="24"/>
  <c r="W5" i="24"/>
  <c r="X5" i="24" s="1"/>
  <c r="V5" i="24"/>
  <c r="T5" i="24"/>
  <c r="U5" i="24" s="1"/>
  <c r="S5" i="24"/>
  <c r="W4" i="24"/>
  <c r="X4" i="24" s="1"/>
  <c r="V4" i="24"/>
  <c r="T4" i="24"/>
  <c r="U4" i="24" s="1"/>
  <c r="S4" i="24"/>
  <c r="W3" i="24"/>
  <c r="X3" i="24" s="1"/>
  <c r="V3" i="24"/>
  <c r="T3" i="24"/>
  <c r="U3" i="24" s="1"/>
  <c r="S3" i="24"/>
  <c r="E1" i="24"/>
  <c r="X82" i="23"/>
  <c r="W82" i="23"/>
  <c r="V82" i="23"/>
  <c r="T82" i="23"/>
  <c r="U82" i="23" s="1"/>
  <c r="S82" i="23"/>
  <c r="W81" i="23"/>
  <c r="X81" i="23" s="1"/>
  <c r="V81" i="23"/>
  <c r="T81" i="23"/>
  <c r="U81" i="23" s="1"/>
  <c r="S81" i="23"/>
  <c r="X80" i="23"/>
  <c r="W80" i="23"/>
  <c r="V80" i="23"/>
  <c r="T80" i="23"/>
  <c r="U80" i="23" s="1"/>
  <c r="S80" i="23"/>
  <c r="X79" i="23"/>
  <c r="W79" i="23"/>
  <c r="V79" i="23"/>
  <c r="T79" i="23"/>
  <c r="U79" i="23" s="1"/>
  <c r="S79" i="23"/>
  <c r="X78" i="23"/>
  <c r="W78" i="23"/>
  <c r="V78" i="23"/>
  <c r="T78" i="23"/>
  <c r="U78" i="23" s="1"/>
  <c r="S78" i="23"/>
  <c r="W77" i="23"/>
  <c r="X77" i="23" s="1"/>
  <c r="V77" i="23"/>
  <c r="T77" i="23"/>
  <c r="U77" i="23" s="1"/>
  <c r="S77" i="23"/>
  <c r="W76" i="23"/>
  <c r="X76" i="23" s="1"/>
  <c r="V76" i="23"/>
  <c r="T76" i="23"/>
  <c r="U76" i="23" s="1"/>
  <c r="S76" i="23"/>
  <c r="X75" i="23"/>
  <c r="W75" i="23"/>
  <c r="V75" i="23"/>
  <c r="T75" i="23"/>
  <c r="U75" i="23" s="1"/>
  <c r="S75" i="23"/>
  <c r="X74" i="23"/>
  <c r="W74" i="23"/>
  <c r="V74" i="23"/>
  <c r="T74" i="23"/>
  <c r="U74" i="23" s="1"/>
  <c r="S74" i="23"/>
  <c r="W73" i="23"/>
  <c r="X73" i="23" s="1"/>
  <c r="V73" i="23"/>
  <c r="T73" i="23"/>
  <c r="U73" i="23" s="1"/>
  <c r="S73" i="23"/>
  <c r="X72" i="23"/>
  <c r="W72" i="23"/>
  <c r="V72" i="23"/>
  <c r="T72" i="23"/>
  <c r="U72" i="23" s="1"/>
  <c r="S72" i="23"/>
  <c r="W71" i="23"/>
  <c r="X71" i="23" s="1"/>
  <c r="V71" i="23"/>
  <c r="T71" i="23"/>
  <c r="U71" i="23" s="1"/>
  <c r="S71" i="23"/>
  <c r="X70" i="23"/>
  <c r="W70" i="23"/>
  <c r="V70" i="23"/>
  <c r="T70" i="23"/>
  <c r="U70" i="23" s="1"/>
  <c r="S70" i="23"/>
  <c r="W69" i="23"/>
  <c r="X69" i="23" s="1"/>
  <c r="V69" i="23"/>
  <c r="T69" i="23"/>
  <c r="U69" i="23" s="1"/>
  <c r="S69" i="23"/>
  <c r="X68" i="23"/>
  <c r="W68" i="23"/>
  <c r="V68" i="23"/>
  <c r="T68" i="23"/>
  <c r="U68" i="23" s="1"/>
  <c r="S68" i="23"/>
  <c r="X67" i="23"/>
  <c r="W67" i="23"/>
  <c r="V67" i="23"/>
  <c r="T67" i="23"/>
  <c r="U67" i="23" s="1"/>
  <c r="S67" i="23"/>
  <c r="W66" i="23"/>
  <c r="X66" i="23" s="1"/>
  <c r="V66" i="23"/>
  <c r="T66" i="23"/>
  <c r="U66" i="23" s="1"/>
  <c r="S66" i="23"/>
  <c r="W65" i="23"/>
  <c r="X65" i="23" s="1"/>
  <c r="V65" i="23"/>
  <c r="T65" i="23"/>
  <c r="U65" i="23" s="1"/>
  <c r="S65" i="23"/>
  <c r="W64" i="23"/>
  <c r="X64" i="23" s="1"/>
  <c r="V64" i="23"/>
  <c r="T64" i="23"/>
  <c r="U64" i="23" s="1"/>
  <c r="S64" i="23"/>
  <c r="W63" i="23"/>
  <c r="X63" i="23" s="1"/>
  <c r="V63" i="23"/>
  <c r="T63" i="23"/>
  <c r="U63" i="23" s="1"/>
  <c r="S63" i="23"/>
  <c r="X62" i="23"/>
  <c r="W62" i="23"/>
  <c r="V62" i="23"/>
  <c r="T62" i="23"/>
  <c r="U62" i="23" s="1"/>
  <c r="S62" i="23"/>
  <c r="W61" i="23"/>
  <c r="X61" i="23" s="1"/>
  <c r="V61" i="23"/>
  <c r="T61" i="23"/>
  <c r="U61" i="23" s="1"/>
  <c r="S61" i="23"/>
  <c r="W60" i="23"/>
  <c r="X60" i="23" s="1"/>
  <c r="V60" i="23"/>
  <c r="T60" i="23"/>
  <c r="U60" i="23" s="1"/>
  <c r="S60" i="23"/>
  <c r="W59" i="23"/>
  <c r="X59" i="23" s="1"/>
  <c r="V59" i="23"/>
  <c r="T59" i="23"/>
  <c r="U59" i="23" s="1"/>
  <c r="S59" i="23"/>
  <c r="X58" i="23"/>
  <c r="W58" i="23"/>
  <c r="V58" i="23"/>
  <c r="T58" i="23"/>
  <c r="U58" i="23" s="1"/>
  <c r="S58" i="23"/>
  <c r="W57" i="23"/>
  <c r="X57" i="23" s="1"/>
  <c r="V57" i="23"/>
  <c r="T57" i="23"/>
  <c r="U57" i="23" s="1"/>
  <c r="S57" i="23"/>
  <c r="W56" i="23"/>
  <c r="X56" i="23" s="1"/>
  <c r="V56" i="23"/>
  <c r="T56" i="23"/>
  <c r="U56" i="23" s="1"/>
  <c r="S56" i="23"/>
  <c r="W55" i="23"/>
  <c r="X55" i="23" s="1"/>
  <c r="V55" i="23"/>
  <c r="T55" i="23"/>
  <c r="U55" i="23" s="1"/>
  <c r="S55" i="23"/>
  <c r="W54" i="23"/>
  <c r="X54" i="23" s="1"/>
  <c r="V54" i="23"/>
  <c r="T54" i="23"/>
  <c r="U54" i="23" s="1"/>
  <c r="S54" i="23"/>
  <c r="W53" i="23"/>
  <c r="X53" i="23" s="1"/>
  <c r="V53" i="23"/>
  <c r="T53" i="23"/>
  <c r="U53" i="23" s="1"/>
  <c r="S53" i="23"/>
  <c r="X52" i="23"/>
  <c r="W52" i="23"/>
  <c r="V52" i="23"/>
  <c r="T52" i="23"/>
  <c r="U52" i="23" s="1"/>
  <c r="S52" i="23"/>
  <c r="X51" i="23"/>
  <c r="W51" i="23"/>
  <c r="V51" i="23"/>
  <c r="T51" i="23"/>
  <c r="U51" i="23" s="1"/>
  <c r="S51" i="23"/>
  <c r="W50" i="23"/>
  <c r="X50" i="23" s="1"/>
  <c r="V50" i="23"/>
  <c r="T50" i="23"/>
  <c r="U50" i="23" s="1"/>
  <c r="S50" i="23"/>
  <c r="W49" i="23"/>
  <c r="X49" i="23" s="1"/>
  <c r="V49" i="23"/>
  <c r="T49" i="23"/>
  <c r="U49" i="23" s="1"/>
  <c r="S49" i="23"/>
  <c r="X48" i="23"/>
  <c r="W48" i="23"/>
  <c r="V48" i="23"/>
  <c r="T48" i="23"/>
  <c r="U48" i="23" s="1"/>
  <c r="S48" i="23"/>
  <c r="X47" i="23"/>
  <c r="W47" i="23"/>
  <c r="V47" i="23"/>
  <c r="T47" i="23"/>
  <c r="U47" i="23" s="1"/>
  <c r="S47" i="23"/>
  <c r="X46" i="23"/>
  <c r="W46" i="23"/>
  <c r="V46" i="23"/>
  <c r="T46" i="23"/>
  <c r="U46" i="23" s="1"/>
  <c r="S46" i="23"/>
  <c r="W45" i="23"/>
  <c r="X45" i="23" s="1"/>
  <c r="V45" i="23"/>
  <c r="T45" i="23"/>
  <c r="U45" i="23" s="1"/>
  <c r="S45" i="23"/>
  <c r="W44" i="23"/>
  <c r="X44" i="23" s="1"/>
  <c r="V44" i="23"/>
  <c r="T44" i="23"/>
  <c r="U44" i="23" s="1"/>
  <c r="S44" i="23"/>
  <c r="X43" i="23"/>
  <c r="W43" i="23"/>
  <c r="V43" i="23"/>
  <c r="T43" i="23"/>
  <c r="U43" i="23" s="1"/>
  <c r="S43" i="23"/>
  <c r="X42" i="23"/>
  <c r="W42" i="23"/>
  <c r="V42" i="23"/>
  <c r="T42" i="23"/>
  <c r="U42" i="23" s="1"/>
  <c r="S42" i="23"/>
  <c r="W41" i="23"/>
  <c r="X41" i="23" s="1"/>
  <c r="V41" i="23"/>
  <c r="T41" i="23"/>
  <c r="U41" i="23" s="1"/>
  <c r="S41" i="23"/>
  <c r="X40" i="23"/>
  <c r="W40" i="23"/>
  <c r="V40" i="23"/>
  <c r="T40" i="23"/>
  <c r="U40" i="23" s="1"/>
  <c r="S40" i="23"/>
  <c r="W39" i="23"/>
  <c r="X39" i="23" s="1"/>
  <c r="V39" i="23"/>
  <c r="T39" i="23"/>
  <c r="U39" i="23" s="1"/>
  <c r="S39" i="23"/>
  <c r="X38" i="23"/>
  <c r="W38" i="23"/>
  <c r="V38" i="23"/>
  <c r="T38" i="23"/>
  <c r="U38" i="23" s="1"/>
  <c r="S38" i="23"/>
  <c r="W37" i="23"/>
  <c r="X37" i="23" s="1"/>
  <c r="V37" i="23"/>
  <c r="T37" i="23"/>
  <c r="U37" i="23" s="1"/>
  <c r="S37" i="23"/>
  <c r="W36" i="23"/>
  <c r="X36" i="23" s="1"/>
  <c r="V36" i="23"/>
  <c r="T36" i="23"/>
  <c r="U36" i="23" s="1"/>
  <c r="S36" i="23"/>
  <c r="X35" i="23"/>
  <c r="W35" i="23"/>
  <c r="V35" i="23"/>
  <c r="T35" i="23"/>
  <c r="U35" i="23" s="1"/>
  <c r="S35" i="23"/>
  <c r="W34" i="23"/>
  <c r="X34" i="23" s="1"/>
  <c r="V34" i="23"/>
  <c r="T34" i="23"/>
  <c r="U34" i="23" s="1"/>
  <c r="S34" i="23"/>
  <c r="W33" i="23"/>
  <c r="X33" i="23" s="1"/>
  <c r="V33" i="23"/>
  <c r="T33" i="23"/>
  <c r="U33" i="23" s="1"/>
  <c r="S33" i="23"/>
  <c r="W32" i="23"/>
  <c r="X32" i="23" s="1"/>
  <c r="V32" i="23"/>
  <c r="T32" i="23"/>
  <c r="U32" i="23" s="1"/>
  <c r="S32" i="23"/>
  <c r="W31" i="23"/>
  <c r="X31" i="23" s="1"/>
  <c r="V31" i="23"/>
  <c r="T31" i="23"/>
  <c r="U31" i="23" s="1"/>
  <c r="S31" i="23"/>
  <c r="X30" i="23"/>
  <c r="W30" i="23"/>
  <c r="V30" i="23"/>
  <c r="T30" i="23"/>
  <c r="U30" i="23" s="1"/>
  <c r="S30" i="23"/>
  <c r="W29" i="23"/>
  <c r="X29" i="23" s="1"/>
  <c r="V29" i="23"/>
  <c r="T29" i="23"/>
  <c r="U29" i="23" s="1"/>
  <c r="S29" i="23"/>
  <c r="W28" i="23"/>
  <c r="X28" i="23" s="1"/>
  <c r="V28" i="23"/>
  <c r="T28" i="23"/>
  <c r="U28" i="23" s="1"/>
  <c r="S28" i="23"/>
  <c r="W27" i="23"/>
  <c r="X27" i="23" s="1"/>
  <c r="V27" i="23"/>
  <c r="T27" i="23"/>
  <c r="U27" i="23" s="1"/>
  <c r="S27" i="23"/>
  <c r="W26" i="23"/>
  <c r="X26" i="23" s="1"/>
  <c r="V26" i="23"/>
  <c r="T26" i="23"/>
  <c r="U26" i="23" s="1"/>
  <c r="S26" i="23"/>
  <c r="W25" i="23"/>
  <c r="X25" i="23" s="1"/>
  <c r="V25" i="23"/>
  <c r="T25" i="23"/>
  <c r="U25" i="23" s="1"/>
  <c r="S25" i="23"/>
  <c r="X24" i="23"/>
  <c r="W24" i="23"/>
  <c r="V24" i="23"/>
  <c r="T24" i="23"/>
  <c r="U24" i="23" s="1"/>
  <c r="S24" i="23"/>
  <c r="W23" i="23"/>
  <c r="X23" i="23" s="1"/>
  <c r="V23" i="23"/>
  <c r="T23" i="23"/>
  <c r="U23" i="23" s="1"/>
  <c r="S23" i="23"/>
  <c r="W22" i="23"/>
  <c r="X22" i="23" s="1"/>
  <c r="V22" i="23"/>
  <c r="T22" i="23"/>
  <c r="U22" i="23" s="1"/>
  <c r="S22" i="23"/>
  <c r="W21" i="23"/>
  <c r="X21" i="23" s="1"/>
  <c r="V21" i="23"/>
  <c r="T21" i="23"/>
  <c r="U21" i="23" s="1"/>
  <c r="S21" i="23"/>
  <c r="X20" i="23"/>
  <c r="W20" i="23"/>
  <c r="V20" i="23"/>
  <c r="T20" i="23"/>
  <c r="U20" i="23" s="1"/>
  <c r="S20" i="23"/>
  <c r="W19" i="23"/>
  <c r="X19" i="23" s="1"/>
  <c r="V19" i="23"/>
  <c r="T19" i="23"/>
  <c r="U19" i="23" s="1"/>
  <c r="S19" i="23"/>
  <c r="W18" i="23"/>
  <c r="X18" i="23" s="1"/>
  <c r="V18" i="23"/>
  <c r="T18" i="23"/>
  <c r="U18" i="23" s="1"/>
  <c r="S18" i="23"/>
  <c r="W17" i="23"/>
  <c r="X17" i="23" s="1"/>
  <c r="V17" i="23"/>
  <c r="T17" i="23"/>
  <c r="U17" i="23" s="1"/>
  <c r="S17" i="23"/>
  <c r="X16" i="23"/>
  <c r="W16" i="23"/>
  <c r="V16" i="23"/>
  <c r="T16" i="23"/>
  <c r="U16" i="23" s="1"/>
  <c r="S16" i="23"/>
  <c r="X15" i="23"/>
  <c r="W15" i="23"/>
  <c r="V15" i="23"/>
  <c r="T15" i="23"/>
  <c r="U15" i="23" s="1"/>
  <c r="S15" i="23"/>
  <c r="W14" i="23"/>
  <c r="X14" i="23" s="1"/>
  <c r="V14" i="23"/>
  <c r="T14" i="23"/>
  <c r="U14" i="23" s="1"/>
  <c r="S14" i="23"/>
  <c r="W13" i="23"/>
  <c r="X13" i="23" s="1"/>
  <c r="V13" i="23"/>
  <c r="T13" i="23"/>
  <c r="U13" i="23" s="1"/>
  <c r="S13" i="23"/>
  <c r="W12" i="23"/>
  <c r="X12" i="23" s="1"/>
  <c r="V12" i="23"/>
  <c r="T12" i="23"/>
  <c r="U12" i="23" s="1"/>
  <c r="S12" i="23"/>
  <c r="X11" i="23"/>
  <c r="W11" i="23"/>
  <c r="V11" i="23"/>
  <c r="T11" i="23"/>
  <c r="U11" i="23" s="1"/>
  <c r="S11" i="23"/>
  <c r="X10" i="23"/>
  <c r="W10" i="23"/>
  <c r="V10" i="23"/>
  <c r="T10" i="23"/>
  <c r="U10" i="23" s="1"/>
  <c r="S10" i="23"/>
  <c r="W9" i="23"/>
  <c r="X9" i="23" s="1"/>
  <c r="V9" i="23"/>
  <c r="T9" i="23"/>
  <c r="U9" i="23" s="1"/>
  <c r="S9" i="23"/>
  <c r="X8" i="23"/>
  <c r="W8" i="23"/>
  <c r="V8" i="23"/>
  <c r="T8" i="23"/>
  <c r="U8" i="23" s="1"/>
  <c r="S8" i="23"/>
  <c r="W7" i="23"/>
  <c r="X7" i="23" s="1"/>
  <c r="V7" i="23"/>
  <c r="T7" i="23"/>
  <c r="U7" i="23" s="1"/>
  <c r="S7" i="23"/>
  <c r="X6" i="23"/>
  <c r="W6" i="23"/>
  <c r="V6" i="23"/>
  <c r="T6" i="23"/>
  <c r="U6" i="23" s="1"/>
  <c r="S6" i="23"/>
  <c r="W5" i="23"/>
  <c r="X5" i="23" s="1"/>
  <c r="V5" i="23"/>
  <c r="T5" i="23"/>
  <c r="U5" i="23" s="1"/>
  <c r="S5" i="23"/>
  <c r="X4" i="23"/>
  <c r="W4" i="23"/>
  <c r="V4" i="23"/>
  <c r="T4" i="23"/>
  <c r="U4" i="23" s="1"/>
  <c r="S4" i="23"/>
  <c r="X3" i="23"/>
  <c r="W3" i="23"/>
  <c r="V3" i="23"/>
  <c r="T3" i="23"/>
  <c r="U3" i="23" s="1"/>
  <c r="S3" i="23"/>
  <c r="E1" i="23"/>
  <c r="W90" i="22" l="1"/>
  <c r="X90" i="22" s="1"/>
  <c r="V90" i="22"/>
  <c r="T90" i="22"/>
  <c r="U90" i="22" s="1"/>
  <c r="S90" i="22"/>
  <c r="W89" i="22"/>
  <c r="X89" i="22" s="1"/>
  <c r="V89" i="22"/>
  <c r="T89" i="22"/>
  <c r="U89" i="22" s="1"/>
  <c r="S89" i="22"/>
  <c r="W88" i="22"/>
  <c r="X88" i="22" s="1"/>
  <c r="V88" i="22"/>
  <c r="U88" i="22"/>
  <c r="T88" i="22"/>
  <c r="S88" i="22"/>
  <c r="W87" i="22"/>
  <c r="X87" i="22" s="1"/>
  <c r="V87" i="22"/>
  <c r="U87" i="22"/>
  <c r="T87" i="22"/>
  <c r="S87" i="22"/>
  <c r="W86" i="22"/>
  <c r="X86" i="22" s="1"/>
  <c r="V86" i="22"/>
  <c r="T86" i="22"/>
  <c r="U86" i="22" s="1"/>
  <c r="S86" i="22"/>
  <c r="W85" i="22"/>
  <c r="X85" i="22" s="1"/>
  <c r="V85" i="22"/>
  <c r="T85" i="22"/>
  <c r="U85" i="22" s="1"/>
  <c r="S85" i="22"/>
  <c r="W84" i="22"/>
  <c r="X84" i="22" s="1"/>
  <c r="V84" i="22"/>
  <c r="U84" i="22"/>
  <c r="T84" i="22"/>
  <c r="S84" i="22"/>
  <c r="W83" i="22"/>
  <c r="X83" i="22" s="1"/>
  <c r="V83" i="22"/>
  <c r="U83" i="22"/>
  <c r="T83" i="22"/>
  <c r="S83" i="22"/>
  <c r="W82" i="22"/>
  <c r="X82" i="22" s="1"/>
  <c r="V82" i="22"/>
  <c r="T82" i="22"/>
  <c r="U82" i="22" s="1"/>
  <c r="S82" i="22"/>
  <c r="W81" i="22"/>
  <c r="X81" i="22" s="1"/>
  <c r="V81" i="22"/>
  <c r="U81" i="22"/>
  <c r="T81" i="22"/>
  <c r="S81" i="22"/>
  <c r="W80" i="22"/>
  <c r="X80" i="22" s="1"/>
  <c r="V80" i="22"/>
  <c r="T80" i="22"/>
  <c r="U80" i="22" s="1"/>
  <c r="S80" i="22"/>
  <c r="W79" i="22"/>
  <c r="X79" i="22" s="1"/>
  <c r="V79" i="22"/>
  <c r="T79" i="22"/>
  <c r="U79" i="22" s="1"/>
  <c r="S79" i="22"/>
  <c r="W78" i="22"/>
  <c r="X78" i="22" s="1"/>
  <c r="V78" i="22"/>
  <c r="T78" i="22"/>
  <c r="U78" i="22" s="1"/>
  <c r="S78" i="22"/>
  <c r="W77" i="22"/>
  <c r="X77" i="22" s="1"/>
  <c r="V77" i="22"/>
  <c r="T77" i="22"/>
  <c r="U77" i="22" s="1"/>
  <c r="S77" i="22"/>
  <c r="W76" i="22"/>
  <c r="X76" i="22" s="1"/>
  <c r="V76" i="22"/>
  <c r="T76" i="22"/>
  <c r="U76" i="22" s="1"/>
  <c r="S76" i="22"/>
  <c r="W75" i="22"/>
  <c r="X75" i="22" s="1"/>
  <c r="V75" i="22"/>
  <c r="T75" i="22"/>
  <c r="U75" i="22" s="1"/>
  <c r="S75" i="22"/>
  <c r="W74" i="22"/>
  <c r="X74" i="22" s="1"/>
  <c r="V74" i="22"/>
  <c r="T74" i="22"/>
  <c r="U74" i="22" s="1"/>
  <c r="S74" i="22"/>
  <c r="W73" i="22"/>
  <c r="X73" i="22" s="1"/>
  <c r="V73" i="22"/>
  <c r="T73" i="22"/>
  <c r="U73" i="22" s="1"/>
  <c r="S73" i="22"/>
  <c r="W72" i="22"/>
  <c r="X72" i="22" s="1"/>
  <c r="V72" i="22"/>
  <c r="T72" i="22"/>
  <c r="U72" i="22" s="1"/>
  <c r="S72" i="22"/>
  <c r="W71" i="22"/>
  <c r="X71" i="22" s="1"/>
  <c r="V71" i="22"/>
  <c r="T71" i="22"/>
  <c r="U71" i="22" s="1"/>
  <c r="S71" i="22"/>
  <c r="W70" i="22"/>
  <c r="X70" i="22" s="1"/>
  <c r="V70" i="22"/>
  <c r="T70" i="22"/>
  <c r="U70" i="22" s="1"/>
  <c r="S70" i="22"/>
  <c r="W69" i="22"/>
  <c r="X69" i="22" s="1"/>
  <c r="V69" i="22"/>
  <c r="T69" i="22"/>
  <c r="U69" i="22" s="1"/>
  <c r="S69" i="22"/>
  <c r="W68" i="22"/>
  <c r="X68" i="22" s="1"/>
  <c r="V68" i="22"/>
  <c r="T68" i="22"/>
  <c r="U68" i="22" s="1"/>
  <c r="S68" i="22"/>
  <c r="W67" i="22"/>
  <c r="X67" i="22" s="1"/>
  <c r="V67" i="22"/>
  <c r="T67" i="22"/>
  <c r="U67" i="22" s="1"/>
  <c r="S67" i="22"/>
  <c r="W66" i="22"/>
  <c r="X66" i="22" s="1"/>
  <c r="V66" i="22"/>
  <c r="T66" i="22"/>
  <c r="U66" i="22" s="1"/>
  <c r="S66" i="22"/>
  <c r="W65" i="22"/>
  <c r="X65" i="22" s="1"/>
  <c r="V65" i="22"/>
  <c r="T65" i="22"/>
  <c r="U65" i="22" s="1"/>
  <c r="S65" i="22"/>
  <c r="W64" i="22"/>
  <c r="X64" i="22" s="1"/>
  <c r="V64" i="22"/>
  <c r="T64" i="22"/>
  <c r="U64" i="22" s="1"/>
  <c r="S64" i="22"/>
  <c r="W63" i="22"/>
  <c r="X63" i="22" s="1"/>
  <c r="V63" i="22"/>
  <c r="T63" i="22"/>
  <c r="U63" i="22" s="1"/>
  <c r="S63" i="22"/>
  <c r="W62" i="22"/>
  <c r="X62" i="22" s="1"/>
  <c r="V62" i="22"/>
  <c r="T62" i="22"/>
  <c r="U62" i="22" s="1"/>
  <c r="S62" i="22"/>
  <c r="W61" i="22"/>
  <c r="X61" i="22" s="1"/>
  <c r="V61" i="22"/>
  <c r="T61" i="22"/>
  <c r="U61" i="22" s="1"/>
  <c r="S61" i="22"/>
  <c r="W60" i="22"/>
  <c r="X60" i="22" s="1"/>
  <c r="V60" i="22"/>
  <c r="T60" i="22"/>
  <c r="U60" i="22" s="1"/>
  <c r="S60" i="22"/>
  <c r="W59" i="22"/>
  <c r="X59" i="22" s="1"/>
  <c r="V59" i="22"/>
  <c r="T59" i="22"/>
  <c r="U59" i="22" s="1"/>
  <c r="S59" i="22"/>
  <c r="W58" i="22"/>
  <c r="X58" i="22" s="1"/>
  <c r="V58" i="22"/>
  <c r="T58" i="22"/>
  <c r="U58" i="22" s="1"/>
  <c r="S58" i="22"/>
  <c r="W57" i="22"/>
  <c r="X57" i="22" s="1"/>
  <c r="V57" i="22"/>
  <c r="T57" i="22"/>
  <c r="U57" i="22" s="1"/>
  <c r="S57" i="22"/>
  <c r="W56" i="22"/>
  <c r="X56" i="22" s="1"/>
  <c r="V56" i="22"/>
  <c r="T56" i="22"/>
  <c r="U56" i="22" s="1"/>
  <c r="S56" i="22"/>
  <c r="W55" i="22"/>
  <c r="X55" i="22" s="1"/>
  <c r="V55" i="22"/>
  <c r="T55" i="22"/>
  <c r="U55" i="22" s="1"/>
  <c r="S55" i="22"/>
  <c r="X54" i="22"/>
  <c r="W54" i="22"/>
  <c r="V54" i="22"/>
  <c r="T54" i="22"/>
  <c r="U54" i="22" s="1"/>
  <c r="S54" i="22"/>
  <c r="W53" i="22"/>
  <c r="X53" i="22" s="1"/>
  <c r="V53" i="22"/>
  <c r="T53" i="22"/>
  <c r="U53" i="22" s="1"/>
  <c r="S53" i="22"/>
  <c r="W52" i="22"/>
  <c r="X52" i="22" s="1"/>
  <c r="V52" i="22"/>
  <c r="T52" i="22"/>
  <c r="U52" i="22" s="1"/>
  <c r="S52" i="22"/>
  <c r="W51" i="22"/>
  <c r="X51" i="22" s="1"/>
  <c r="V51" i="22"/>
  <c r="T51" i="22"/>
  <c r="U51" i="22" s="1"/>
  <c r="S51" i="22"/>
  <c r="W50" i="22"/>
  <c r="X50" i="22" s="1"/>
  <c r="V50" i="22"/>
  <c r="T50" i="22"/>
  <c r="U50" i="22" s="1"/>
  <c r="S50" i="22"/>
  <c r="W49" i="22"/>
  <c r="X49" i="22" s="1"/>
  <c r="V49" i="22"/>
  <c r="T49" i="22"/>
  <c r="U49" i="22" s="1"/>
  <c r="S49" i="22"/>
  <c r="W48" i="22"/>
  <c r="X48" i="22" s="1"/>
  <c r="V48" i="22"/>
  <c r="T48" i="22"/>
  <c r="U48" i="22" s="1"/>
  <c r="S48" i="22"/>
  <c r="W47" i="22"/>
  <c r="X47" i="22" s="1"/>
  <c r="V47" i="22"/>
  <c r="T47" i="22"/>
  <c r="U47" i="22" s="1"/>
  <c r="S47" i="22"/>
  <c r="W46" i="22"/>
  <c r="X46" i="22" s="1"/>
  <c r="V46" i="22"/>
  <c r="T46" i="22"/>
  <c r="U46" i="22" s="1"/>
  <c r="S46" i="22"/>
  <c r="W45" i="22"/>
  <c r="X45" i="22" s="1"/>
  <c r="V45" i="22"/>
  <c r="T45" i="22"/>
  <c r="U45" i="22" s="1"/>
  <c r="S45" i="22"/>
  <c r="X44" i="22"/>
  <c r="W44" i="22"/>
  <c r="V44" i="22"/>
  <c r="T44" i="22"/>
  <c r="U44" i="22" s="1"/>
  <c r="S44" i="22"/>
  <c r="W43" i="22"/>
  <c r="X43" i="22" s="1"/>
  <c r="V43" i="22"/>
  <c r="T43" i="22"/>
  <c r="U43" i="22" s="1"/>
  <c r="S43" i="22"/>
  <c r="W42" i="22"/>
  <c r="X42" i="22" s="1"/>
  <c r="V42" i="22"/>
  <c r="T42" i="22"/>
  <c r="U42" i="22" s="1"/>
  <c r="S42" i="22"/>
  <c r="W41" i="22"/>
  <c r="X41" i="22" s="1"/>
  <c r="V41" i="22"/>
  <c r="T41" i="22"/>
  <c r="U41" i="22" s="1"/>
  <c r="S41" i="22"/>
  <c r="X40" i="22"/>
  <c r="W40" i="22"/>
  <c r="V40" i="22"/>
  <c r="T40" i="22"/>
  <c r="U40" i="22" s="1"/>
  <c r="S40" i="22"/>
  <c r="W39" i="22"/>
  <c r="X39" i="22" s="1"/>
  <c r="V39" i="22"/>
  <c r="T39" i="22"/>
  <c r="U39" i="22" s="1"/>
  <c r="S39" i="22"/>
  <c r="W38" i="22"/>
  <c r="X38" i="22" s="1"/>
  <c r="V38" i="22"/>
  <c r="T38" i="22"/>
  <c r="U38" i="22" s="1"/>
  <c r="S38" i="22"/>
  <c r="W37" i="22"/>
  <c r="X37" i="22" s="1"/>
  <c r="V37" i="22"/>
  <c r="T37" i="22"/>
  <c r="U37" i="22" s="1"/>
  <c r="S37" i="22"/>
  <c r="W36" i="22"/>
  <c r="X36" i="22" s="1"/>
  <c r="V36" i="22"/>
  <c r="T36" i="22"/>
  <c r="U36" i="22" s="1"/>
  <c r="S36" i="22"/>
  <c r="W35" i="22"/>
  <c r="X35" i="22" s="1"/>
  <c r="V35" i="22"/>
  <c r="T35" i="22"/>
  <c r="U35" i="22" s="1"/>
  <c r="S35" i="22"/>
  <c r="W34" i="22"/>
  <c r="X34" i="22" s="1"/>
  <c r="V34" i="22"/>
  <c r="T34" i="22"/>
  <c r="U34" i="22" s="1"/>
  <c r="S34" i="22"/>
  <c r="W33" i="22"/>
  <c r="X33" i="22" s="1"/>
  <c r="V33" i="22"/>
  <c r="T33" i="22"/>
  <c r="U33" i="22" s="1"/>
  <c r="S33" i="22"/>
  <c r="W32" i="22"/>
  <c r="X32" i="22" s="1"/>
  <c r="V32" i="22"/>
  <c r="T32" i="22"/>
  <c r="U32" i="22" s="1"/>
  <c r="S32" i="22"/>
  <c r="W31" i="22"/>
  <c r="X31" i="22" s="1"/>
  <c r="V31" i="22"/>
  <c r="T31" i="22"/>
  <c r="U31" i="22" s="1"/>
  <c r="S31" i="22"/>
  <c r="W30" i="22"/>
  <c r="X30" i="22" s="1"/>
  <c r="V30" i="22"/>
  <c r="T30" i="22"/>
  <c r="U30" i="22" s="1"/>
  <c r="S30" i="22"/>
  <c r="W29" i="22"/>
  <c r="X29" i="22" s="1"/>
  <c r="V29" i="22"/>
  <c r="T29" i="22"/>
  <c r="U29" i="22" s="1"/>
  <c r="S29" i="22"/>
  <c r="W28" i="22"/>
  <c r="X28" i="22" s="1"/>
  <c r="V28" i="22"/>
  <c r="T28" i="22"/>
  <c r="U28" i="22" s="1"/>
  <c r="S28" i="22"/>
  <c r="W27" i="22"/>
  <c r="X27" i="22" s="1"/>
  <c r="V27" i="22"/>
  <c r="T27" i="22"/>
  <c r="U27" i="22" s="1"/>
  <c r="S27" i="22"/>
  <c r="W26" i="22"/>
  <c r="X26" i="22" s="1"/>
  <c r="V26" i="22"/>
  <c r="T26" i="22"/>
  <c r="U26" i="22" s="1"/>
  <c r="S26" i="22"/>
  <c r="W25" i="22"/>
  <c r="X25" i="22" s="1"/>
  <c r="V25" i="22"/>
  <c r="T25" i="22"/>
  <c r="U25" i="22" s="1"/>
  <c r="S25" i="22"/>
  <c r="W24" i="22"/>
  <c r="X24" i="22" s="1"/>
  <c r="V24" i="22"/>
  <c r="T24" i="22"/>
  <c r="U24" i="22" s="1"/>
  <c r="S24" i="22"/>
  <c r="W23" i="22"/>
  <c r="X23" i="22" s="1"/>
  <c r="V23" i="22"/>
  <c r="T23" i="22"/>
  <c r="U23" i="22" s="1"/>
  <c r="S23" i="22"/>
  <c r="W22" i="22"/>
  <c r="X22" i="22" s="1"/>
  <c r="V22" i="22"/>
  <c r="T22" i="22"/>
  <c r="U22" i="22" s="1"/>
  <c r="S22" i="22"/>
  <c r="W21" i="22"/>
  <c r="X21" i="22" s="1"/>
  <c r="V21" i="22"/>
  <c r="T21" i="22"/>
  <c r="U21" i="22" s="1"/>
  <c r="S21" i="22"/>
  <c r="W20" i="22"/>
  <c r="X20" i="22" s="1"/>
  <c r="V20" i="22"/>
  <c r="T20" i="22"/>
  <c r="U20" i="22" s="1"/>
  <c r="S20" i="22"/>
  <c r="W19" i="22"/>
  <c r="X19" i="22" s="1"/>
  <c r="V19" i="22"/>
  <c r="T19" i="22"/>
  <c r="U19" i="22" s="1"/>
  <c r="S19" i="22"/>
  <c r="W18" i="22"/>
  <c r="X18" i="22" s="1"/>
  <c r="V18" i="22"/>
  <c r="T18" i="22"/>
  <c r="U18" i="22" s="1"/>
  <c r="S18" i="22"/>
  <c r="W17" i="22"/>
  <c r="X17" i="22" s="1"/>
  <c r="V17" i="22"/>
  <c r="T17" i="22"/>
  <c r="U17" i="22" s="1"/>
  <c r="S17" i="22"/>
  <c r="W16" i="22"/>
  <c r="X16" i="22" s="1"/>
  <c r="V16" i="22"/>
  <c r="T16" i="22"/>
  <c r="U16" i="22" s="1"/>
  <c r="S16" i="22"/>
  <c r="W15" i="22"/>
  <c r="X15" i="22" s="1"/>
  <c r="V15" i="22"/>
  <c r="T15" i="22"/>
  <c r="U15" i="22" s="1"/>
  <c r="S15" i="22"/>
  <c r="W14" i="22"/>
  <c r="X14" i="22" s="1"/>
  <c r="V14" i="22"/>
  <c r="T14" i="22"/>
  <c r="U14" i="22" s="1"/>
  <c r="S14" i="22"/>
  <c r="W13" i="22"/>
  <c r="X13" i="22" s="1"/>
  <c r="V13" i="22"/>
  <c r="T13" i="22"/>
  <c r="U13" i="22" s="1"/>
  <c r="S13" i="22"/>
  <c r="W12" i="22"/>
  <c r="X12" i="22" s="1"/>
  <c r="V12" i="22"/>
  <c r="T12" i="22"/>
  <c r="U12" i="22" s="1"/>
  <c r="S12" i="22"/>
  <c r="W11" i="22"/>
  <c r="X11" i="22" s="1"/>
  <c r="V11" i="22"/>
  <c r="T11" i="22"/>
  <c r="U11" i="22" s="1"/>
  <c r="S11" i="22"/>
  <c r="W10" i="22"/>
  <c r="X10" i="22" s="1"/>
  <c r="V10" i="22"/>
  <c r="T10" i="22"/>
  <c r="U10" i="22" s="1"/>
  <c r="S10" i="22"/>
  <c r="W9" i="22"/>
  <c r="X9" i="22" s="1"/>
  <c r="V9" i="22"/>
  <c r="T9" i="22"/>
  <c r="U9" i="22" s="1"/>
  <c r="S9" i="22"/>
  <c r="W8" i="22"/>
  <c r="X8" i="22" s="1"/>
  <c r="V8" i="22"/>
  <c r="T8" i="22"/>
  <c r="U8" i="22" s="1"/>
  <c r="S8" i="22"/>
  <c r="W7" i="22"/>
  <c r="X7" i="22" s="1"/>
  <c r="V7" i="22"/>
  <c r="T7" i="22"/>
  <c r="U7" i="22" s="1"/>
  <c r="S7" i="22"/>
  <c r="W6" i="22"/>
  <c r="X6" i="22" s="1"/>
  <c r="V6" i="22"/>
  <c r="T6" i="22"/>
  <c r="U6" i="22" s="1"/>
  <c r="S6" i="22"/>
  <c r="W5" i="22"/>
  <c r="X5" i="22" s="1"/>
  <c r="V5" i="22"/>
  <c r="T5" i="22"/>
  <c r="U5" i="22" s="1"/>
  <c r="S5" i="22"/>
  <c r="W4" i="22"/>
  <c r="X4" i="22" s="1"/>
  <c r="V4" i="22"/>
  <c r="T4" i="22"/>
  <c r="U4" i="22" s="1"/>
  <c r="S4" i="22"/>
  <c r="W3" i="22"/>
  <c r="X3" i="22" s="1"/>
  <c r="V3" i="22"/>
  <c r="T3" i="22"/>
  <c r="U3" i="22" s="1"/>
  <c r="S3" i="22"/>
  <c r="E1" i="22"/>
  <c r="W26" i="21"/>
  <c r="X26" i="21" s="1"/>
  <c r="V26" i="21"/>
  <c r="T26" i="21"/>
  <c r="U26" i="21" s="1"/>
  <c r="S26" i="21"/>
  <c r="W25" i="21"/>
  <c r="X25" i="21" s="1"/>
  <c r="V25" i="21"/>
  <c r="T25" i="21"/>
  <c r="U25" i="21" s="1"/>
  <c r="S25" i="21"/>
  <c r="X24" i="21"/>
  <c r="W24" i="21"/>
  <c r="V24" i="21"/>
  <c r="T24" i="21"/>
  <c r="U24" i="21" s="1"/>
  <c r="S24" i="21"/>
  <c r="W23" i="21"/>
  <c r="X23" i="21" s="1"/>
  <c r="V23" i="21"/>
  <c r="T23" i="21"/>
  <c r="U23" i="21" s="1"/>
  <c r="S23" i="21"/>
  <c r="X22" i="21"/>
  <c r="W22" i="21"/>
  <c r="V22" i="21"/>
  <c r="T22" i="21"/>
  <c r="U22" i="21" s="1"/>
  <c r="S22" i="21"/>
  <c r="W21" i="21"/>
  <c r="X21" i="21" s="1"/>
  <c r="V21" i="21"/>
  <c r="T21" i="21"/>
  <c r="U21" i="21" s="1"/>
  <c r="S21" i="21"/>
  <c r="W20" i="21"/>
  <c r="X20" i="21" s="1"/>
  <c r="V20" i="21"/>
  <c r="T20" i="21"/>
  <c r="U20" i="21" s="1"/>
  <c r="S20" i="21"/>
  <c r="W19" i="21"/>
  <c r="X19" i="21" s="1"/>
  <c r="V19" i="21"/>
  <c r="T19" i="21"/>
  <c r="U19" i="21" s="1"/>
  <c r="S19" i="21"/>
  <c r="W18" i="21"/>
  <c r="X18" i="21" s="1"/>
  <c r="V18" i="21"/>
  <c r="T18" i="21"/>
  <c r="U18" i="21" s="1"/>
  <c r="S18" i="21"/>
  <c r="W17" i="21"/>
  <c r="X17" i="21" s="1"/>
  <c r="V17" i="21"/>
  <c r="T17" i="21"/>
  <c r="U17" i="21" s="1"/>
  <c r="S17" i="21"/>
  <c r="X16" i="21"/>
  <c r="W16" i="21"/>
  <c r="V16" i="21"/>
  <c r="T16" i="21"/>
  <c r="U16" i="21" s="1"/>
  <c r="S16" i="21"/>
  <c r="W15" i="21"/>
  <c r="X15" i="21" s="1"/>
  <c r="V15" i="21"/>
  <c r="T15" i="21"/>
  <c r="U15" i="21" s="1"/>
  <c r="S15" i="21"/>
  <c r="X14" i="21"/>
  <c r="W14" i="21"/>
  <c r="V14" i="21"/>
  <c r="T14" i="21"/>
  <c r="U14" i="21" s="1"/>
  <c r="S14" i="21"/>
  <c r="W13" i="21"/>
  <c r="X13" i="21" s="1"/>
  <c r="V13" i="21"/>
  <c r="T13" i="21"/>
  <c r="U13" i="21" s="1"/>
  <c r="S13" i="21"/>
  <c r="W12" i="21"/>
  <c r="X12" i="21" s="1"/>
  <c r="V12" i="21"/>
  <c r="T12" i="21"/>
  <c r="U12" i="21" s="1"/>
  <c r="S12" i="21"/>
  <c r="W11" i="21"/>
  <c r="X11" i="21" s="1"/>
  <c r="V11" i="21"/>
  <c r="T11" i="21"/>
  <c r="U11" i="21" s="1"/>
  <c r="S11" i="21"/>
  <c r="X10" i="21"/>
  <c r="W10" i="21"/>
  <c r="V10" i="21"/>
  <c r="T10" i="21"/>
  <c r="U10" i="21" s="1"/>
  <c r="S10" i="21"/>
  <c r="W9" i="21"/>
  <c r="X9" i="21" s="1"/>
  <c r="V9" i="21"/>
  <c r="T9" i="21"/>
  <c r="U9" i="21" s="1"/>
  <c r="S9" i="21"/>
  <c r="X8" i="21"/>
  <c r="W8" i="21"/>
  <c r="V8" i="21"/>
  <c r="T8" i="21"/>
  <c r="U8" i="21" s="1"/>
  <c r="S8" i="21"/>
  <c r="W7" i="21"/>
  <c r="X7" i="21" s="1"/>
  <c r="V7" i="21"/>
  <c r="U7" i="21"/>
  <c r="T7" i="21"/>
  <c r="S7" i="21"/>
  <c r="X6" i="21"/>
  <c r="W6" i="21"/>
  <c r="V6" i="21"/>
  <c r="T6" i="21"/>
  <c r="U6" i="21" s="1"/>
  <c r="S6" i="21"/>
  <c r="W5" i="21"/>
  <c r="X5" i="21" s="1"/>
  <c r="V5" i="21"/>
  <c r="T5" i="21"/>
  <c r="U5" i="21" s="1"/>
  <c r="S5" i="21"/>
  <c r="W4" i="21"/>
  <c r="X4" i="21" s="1"/>
  <c r="V4" i="21"/>
  <c r="T4" i="21"/>
  <c r="U4" i="21" s="1"/>
  <c r="S4" i="21"/>
  <c r="W3" i="21"/>
  <c r="X3" i="21" s="1"/>
  <c r="V3" i="21"/>
  <c r="U3" i="21"/>
  <c r="T3" i="21"/>
  <c r="S3" i="21"/>
  <c r="E1" i="21"/>
  <c r="X66" i="6"/>
  <c r="W66" i="6"/>
  <c r="V66" i="6"/>
  <c r="T66" i="6"/>
  <c r="U66" i="6" s="1"/>
  <c r="S66" i="6"/>
  <c r="W65" i="6"/>
  <c r="X65" i="6" s="1"/>
  <c r="V65" i="6"/>
  <c r="T65" i="6"/>
  <c r="U65" i="6" s="1"/>
  <c r="S65" i="6"/>
  <c r="X64" i="6"/>
  <c r="W64" i="6"/>
  <c r="V64" i="6"/>
  <c r="T64" i="6"/>
  <c r="U64" i="6" s="1"/>
  <c r="S64" i="6"/>
  <c r="X63" i="6"/>
  <c r="W63" i="6"/>
  <c r="V63" i="6"/>
  <c r="T63" i="6"/>
  <c r="U63" i="6" s="1"/>
  <c r="S63" i="6"/>
  <c r="X62" i="6"/>
  <c r="W62" i="6"/>
  <c r="V62" i="6"/>
  <c r="T62" i="6"/>
  <c r="U62" i="6" s="1"/>
  <c r="S62" i="6"/>
  <c r="W61" i="6"/>
  <c r="X61" i="6" s="1"/>
  <c r="V61" i="6"/>
  <c r="T61" i="6"/>
  <c r="U61" i="6" s="1"/>
  <c r="S61" i="6"/>
  <c r="X60" i="6"/>
  <c r="W60" i="6"/>
  <c r="V60" i="6"/>
  <c r="T60" i="6"/>
  <c r="U60" i="6" s="1"/>
  <c r="S60" i="6"/>
  <c r="X59" i="6"/>
  <c r="W59" i="6"/>
  <c r="V59" i="6"/>
  <c r="T59" i="6"/>
  <c r="U59" i="6" s="1"/>
  <c r="S59" i="6"/>
  <c r="S43" i="6"/>
  <c r="S44" i="6"/>
  <c r="S45" i="6"/>
  <c r="S46" i="6"/>
  <c r="S47" i="6"/>
  <c r="S48" i="6"/>
  <c r="S49" i="6"/>
  <c r="S50" i="6"/>
  <c r="T43" i="6"/>
  <c r="T44" i="6"/>
  <c r="T45" i="6"/>
  <c r="T46" i="6"/>
  <c r="T47" i="6"/>
  <c r="T48" i="6"/>
  <c r="T49" i="6"/>
  <c r="T50" i="6"/>
  <c r="U50" i="6" s="1"/>
  <c r="U43" i="6"/>
  <c r="U44" i="6"/>
  <c r="U45" i="6"/>
  <c r="U46" i="6"/>
  <c r="U47" i="6"/>
  <c r="U48" i="6"/>
  <c r="U49" i="6"/>
  <c r="V43" i="6"/>
  <c r="V44" i="6"/>
  <c r="V45" i="6"/>
  <c r="V46" i="6"/>
  <c r="V47" i="6"/>
  <c r="V48" i="6"/>
  <c r="V49" i="6"/>
  <c r="V50" i="6"/>
  <c r="W43" i="6"/>
  <c r="X43" i="6" s="1"/>
  <c r="W44" i="6"/>
  <c r="W45" i="6"/>
  <c r="X45" i="6" s="1"/>
  <c r="W46" i="6"/>
  <c r="W47" i="6"/>
  <c r="W48" i="6"/>
  <c r="W49" i="6"/>
  <c r="W50" i="6"/>
  <c r="X50" i="6" s="1"/>
  <c r="X44" i="6"/>
  <c r="X46" i="6"/>
  <c r="X47" i="6"/>
  <c r="X48" i="6"/>
  <c r="X49" i="6"/>
  <c r="W3" i="6" l="1"/>
  <c r="X3" i="6" s="1"/>
  <c r="W4" i="6"/>
  <c r="X4" i="6" s="1"/>
  <c r="W5" i="6"/>
  <c r="X5" i="6" s="1"/>
  <c r="W6" i="6"/>
  <c r="X6" i="6" s="1"/>
  <c r="W7" i="6"/>
  <c r="X7" i="6" s="1"/>
  <c r="W8" i="6"/>
  <c r="X8" i="6" s="1"/>
  <c r="W9" i="6"/>
  <c r="X9" i="6" s="1"/>
  <c r="W10" i="6"/>
  <c r="X10" i="6" s="1"/>
  <c r="W11" i="6"/>
  <c r="X11" i="6" s="1"/>
  <c r="W12" i="6"/>
  <c r="X12" i="6" s="1"/>
  <c r="W13" i="6"/>
  <c r="X13" i="6" s="1"/>
  <c r="W14" i="6"/>
  <c r="X14" i="6" s="1"/>
  <c r="W15" i="6"/>
  <c r="X15" i="6" s="1"/>
  <c r="W16" i="6"/>
  <c r="X16" i="6" s="1"/>
  <c r="W17" i="6"/>
  <c r="X17" i="6" s="1"/>
  <c r="W18" i="6"/>
  <c r="X18" i="6" s="1"/>
  <c r="W19" i="6"/>
  <c r="X19" i="6" s="1"/>
  <c r="W20" i="6"/>
  <c r="X20" i="6" s="1"/>
  <c r="W21" i="6"/>
  <c r="X21" i="6" s="1"/>
  <c r="W22" i="6"/>
  <c r="X22" i="6" s="1"/>
  <c r="W23" i="6"/>
  <c r="X23" i="6" s="1"/>
  <c r="W24" i="6"/>
  <c r="X24" i="6" s="1"/>
  <c r="W25" i="6"/>
  <c r="X25" i="6" s="1"/>
  <c r="W26" i="6"/>
  <c r="X26" i="6" s="1"/>
  <c r="W27" i="6"/>
  <c r="X27" i="6" s="1"/>
  <c r="W28" i="6"/>
  <c r="X28" i="6" s="1"/>
  <c r="W29" i="6"/>
  <c r="X29" i="6" s="1"/>
  <c r="W30" i="6"/>
  <c r="X30" i="6" s="1"/>
  <c r="W31" i="6"/>
  <c r="X31" i="6" s="1"/>
  <c r="W32" i="6"/>
  <c r="X32" i="6" s="1"/>
  <c r="W33" i="6"/>
  <c r="X33" i="6" s="1"/>
  <c r="W34" i="6"/>
  <c r="X34" i="6" s="1"/>
  <c r="W35" i="6"/>
  <c r="X35" i="6" s="1"/>
  <c r="W36" i="6"/>
  <c r="X36" i="6" s="1"/>
  <c r="W37" i="6"/>
  <c r="X37" i="6" s="1"/>
  <c r="W38" i="6"/>
  <c r="X38" i="6" s="1"/>
  <c r="W39" i="6"/>
  <c r="X39" i="6" s="1"/>
  <c r="W40" i="6"/>
  <c r="X40" i="6" s="1"/>
  <c r="W41" i="6"/>
  <c r="X41" i="6" s="1"/>
  <c r="W42" i="6"/>
  <c r="X42" i="6" s="1"/>
  <c r="W51" i="6"/>
  <c r="X51" i="6" s="1"/>
  <c r="W52" i="6"/>
  <c r="X52" i="6" s="1"/>
  <c r="W53" i="6"/>
  <c r="X53" i="6" s="1"/>
  <c r="W54" i="6"/>
  <c r="X54" i="6" s="1"/>
  <c r="W55" i="6"/>
  <c r="X55" i="6" s="1"/>
  <c r="W56" i="6"/>
  <c r="X56" i="6" s="1"/>
  <c r="W57" i="6"/>
  <c r="X57" i="6" s="1"/>
  <c r="W58" i="6"/>
  <c r="X58" i="6" s="1"/>
  <c r="T3" i="6"/>
  <c r="U3" i="6" s="1"/>
  <c r="T4" i="6"/>
  <c r="U4" i="6" s="1"/>
  <c r="T5" i="6"/>
  <c r="U5" i="6" s="1"/>
  <c r="T6" i="6"/>
  <c r="U6" i="6" s="1"/>
  <c r="T7" i="6"/>
  <c r="U7" i="6" s="1"/>
  <c r="T8" i="6"/>
  <c r="U8" i="6" s="1"/>
  <c r="T9" i="6"/>
  <c r="U9" i="6" s="1"/>
  <c r="T10" i="6"/>
  <c r="U10" i="6" s="1"/>
  <c r="T11" i="6"/>
  <c r="U11" i="6" s="1"/>
  <c r="T12" i="6"/>
  <c r="U12" i="6" s="1"/>
  <c r="T13" i="6"/>
  <c r="U13" i="6" s="1"/>
  <c r="T14" i="6"/>
  <c r="U14" i="6" s="1"/>
  <c r="T15" i="6"/>
  <c r="U15" i="6" s="1"/>
  <c r="T16" i="6"/>
  <c r="U16" i="6" s="1"/>
  <c r="T17" i="6"/>
  <c r="U17" i="6" s="1"/>
  <c r="T18" i="6"/>
  <c r="U18" i="6" s="1"/>
  <c r="T19" i="6"/>
  <c r="U19" i="6" s="1"/>
  <c r="T20" i="6"/>
  <c r="U20" i="6" s="1"/>
  <c r="T21" i="6"/>
  <c r="U21" i="6" s="1"/>
  <c r="T22" i="6"/>
  <c r="U22" i="6" s="1"/>
  <c r="T23" i="6"/>
  <c r="U23" i="6" s="1"/>
  <c r="T24" i="6"/>
  <c r="U24" i="6" s="1"/>
  <c r="T25" i="6"/>
  <c r="U25" i="6" s="1"/>
  <c r="T26" i="6"/>
  <c r="U26" i="6" s="1"/>
  <c r="T27" i="6"/>
  <c r="U27" i="6" s="1"/>
  <c r="T28" i="6"/>
  <c r="U28" i="6" s="1"/>
  <c r="T29" i="6"/>
  <c r="U29" i="6" s="1"/>
  <c r="T30" i="6"/>
  <c r="U30" i="6" s="1"/>
  <c r="T31" i="6"/>
  <c r="U31" i="6" s="1"/>
  <c r="T32" i="6"/>
  <c r="U32" i="6" s="1"/>
  <c r="T33" i="6"/>
  <c r="U33" i="6" s="1"/>
  <c r="T34" i="6"/>
  <c r="U34" i="6" s="1"/>
  <c r="T35" i="6"/>
  <c r="U35" i="6" s="1"/>
  <c r="T36" i="6"/>
  <c r="U36" i="6" s="1"/>
  <c r="T37" i="6"/>
  <c r="U37" i="6" s="1"/>
  <c r="T38" i="6"/>
  <c r="U38" i="6" s="1"/>
  <c r="T39" i="6"/>
  <c r="U39" i="6" s="1"/>
  <c r="T40" i="6"/>
  <c r="U40" i="6" s="1"/>
  <c r="T41" i="6"/>
  <c r="U41" i="6" s="1"/>
  <c r="T42" i="6"/>
  <c r="U42" i="6" s="1"/>
  <c r="T51" i="6"/>
  <c r="U51" i="6" s="1"/>
  <c r="T52" i="6"/>
  <c r="U52" i="6" s="1"/>
  <c r="T53" i="6"/>
  <c r="U53" i="6" s="1"/>
  <c r="T54" i="6"/>
  <c r="U54" i="6" s="1"/>
  <c r="T55" i="6"/>
  <c r="U55" i="6" s="1"/>
  <c r="T56" i="6"/>
  <c r="U56" i="6" s="1"/>
  <c r="T57" i="6"/>
  <c r="U57" i="6" s="1"/>
  <c r="T58" i="6"/>
  <c r="U58" i="6" s="1"/>
  <c r="V3" i="6"/>
  <c r="V4" i="6"/>
  <c r="V5" i="6"/>
  <c r="V6" i="6"/>
  <c r="V7" i="6"/>
  <c r="V8" i="6"/>
  <c r="V9" i="6"/>
  <c r="V10" i="6"/>
  <c r="V11" i="6"/>
  <c r="V12" i="6"/>
  <c r="V13" i="6"/>
  <c r="V14" i="6"/>
  <c r="V15" i="6"/>
  <c r="V16" i="6"/>
  <c r="V17" i="6"/>
  <c r="V18" i="6"/>
  <c r="V19" i="6"/>
  <c r="V20" i="6"/>
  <c r="V21" i="6"/>
  <c r="V22" i="6"/>
  <c r="V23" i="6"/>
  <c r="V24" i="6"/>
  <c r="V25" i="6"/>
  <c r="V26" i="6"/>
  <c r="V27" i="6"/>
  <c r="V28" i="6"/>
  <c r="V29" i="6"/>
  <c r="V30" i="6"/>
  <c r="V31" i="6"/>
  <c r="V32" i="6"/>
  <c r="V33" i="6"/>
  <c r="V34" i="6"/>
  <c r="V35" i="6"/>
  <c r="V36" i="6"/>
  <c r="V37" i="6"/>
  <c r="V38" i="6"/>
  <c r="V39" i="6"/>
  <c r="V40" i="6"/>
  <c r="V41" i="6"/>
  <c r="V42" i="6"/>
  <c r="V51" i="6"/>
  <c r="V52" i="6"/>
  <c r="V53" i="6"/>
  <c r="V54" i="6"/>
  <c r="V55" i="6"/>
  <c r="V56" i="6"/>
  <c r="V57" i="6"/>
  <c r="V58" i="6"/>
  <c r="S3" i="6"/>
  <c r="S4" i="6"/>
  <c r="S5" i="6"/>
  <c r="S6" i="6"/>
  <c r="S7" i="6"/>
  <c r="S8" i="6"/>
  <c r="S9" i="6"/>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51" i="6"/>
  <c r="S52" i="6"/>
  <c r="S53" i="6"/>
  <c r="S54" i="6"/>
  <c r="S55" i="6"/>
  <c r="S56" i="6"/>
  <c r="S57" i="6"/>
  <c r="S58" i="6"/>
  <c r="E1" i="6" l="1"/>
</calcChain>
</file>

<file path=xl/sharedStrings.xml><?xml version="1.0" encoding="utf-8"?>
<sst xmlns="http://schemas.openxmlformats.org/spreadsheetml/2006/main" count="2635" uniqueCount="197">
  <si>
    <t>Product Description</t>
  </si>
  <si>
    <t>Vendor Pack</t>
  </si>
  <si>
    <t>USDA Material Code</t>
  </si>
  <si>
    <t>Product Spec #</t>
  </si>
  <si>
    <t>Manufacturer Product Code</t>
  </si>
  <si>
    <t># of CN Servings per case</t>
  </si>
  <si>
    <t>Estimated Servings Annual</t>
  </si>
  <si>
    <t>3c1</t>
  </si>
  <si>
    <t>3c2</t>
  </si>
  <si>
    <t>3c3</t>
  </si>
  <si>
    <t>3c4</t>
  </si>
  <si>
    <t>Bongard's Creameries</t>
  </si>
  <si>
    <t>Land o Lakes</t>
  </si>
  <si>
    <t>Other:</t>
  </si>
  <si>
    <t>Category</t>
  </si>
  <si>
    <t>Cheese Bulk</t>
  </si>
  <si>
    <t>Row Labels</t>
  </si>
  <si>
    <t>Grand Total</t>
  </si>
  <si>
    <t>Sum of Total Cost Per Year (M*G)</t>
  </si>
  <si>
    <t>Special Order Item? (Y/N)</t>
  </si>
  <si>
    <t>Distributor Product Code</t>
  </si>
  <si>
    <t>Pounds of DF Needed per Case (#)</t>
  </si>
  <si>
    <t>Commercial Bid Price per case for NOI ($)</t>
  </si>
  <si>
    <t>Manufacturer (max 2 per manufactuerer)</t>
  </si>
  <si>
    <t>Peterson Farms</t>
  </si>
  <si>
    <t>Sunset Orchard</t>
  </si>
  <si>
    <t>National Food Group</t>
  </si>
  <si>
    <t>Beef</t>
  </si>
  <si>
    <t>JTM</t>
  </si>
  <si>
    <t>Cheese</t>
  </si>
  <si>
    <t>Chicken</t>
  </si>
  <si>
    <t>Yang's 5th Taste</t>
  </si>
  <si>
    <t>Eggs</t>
  </si>
  <si>
    <t>Egg Patty</t>
  </si>
  <si>
    <t>French Toast Sticks</t>
  </si>
  <si>
    <t>Fruit</t>
  </si>
  <si>
    <t>Del Monte</t>
  </si>
  <si>
    <t>Mozzarella</t>
  </si>
  <si>
    <t>Peanut Butter</t>
  </si>
  <si>
    <t>Pork</t>
  </si>
  <si>
    <t>Rich's</t>
  </si>
  <si>
    <t>Turkey and Gravy</t>
  </si>
  <si>
    <t>Instructions:</t>
  </si>
  <si>
    <t>The remainder of the columns will auto calculate pricing based off # of servings per case.</t>
  </si>
  <si>
    <t>Beef Patty</t>
  </si>
  <si>
    <t>Beef Crumbles</t>
  </si>
  <si>
    <t>Beef Strips</t>
  </si>
  <si>
    <t>Beef Meatballs</t>
  </si>
  <si>
    <t>Salisbury Steak</t>
  </si>
  <si>
    <t>Other Poultry</t>
  </si>
  <si>
    <t>Tyson Foods</t>
  </si>
  <si>
    <t>ConAgra</t>
  </si>
  <si>
    <t>Schwan's</t>
  </si>
  <si>
    <t>Breakfast Pizza with Meat</t>
  </si>
  <si>
    <t>Breakfast Pizza with Egg</t>
  </si>
  <si>
    <t>Soft Breadstick with Cheese Filling</t>
  </si>
  <si>
    <t>Soft Breadstick pieces with Cheese Filling</t>
  </si>
  <si>
    <t>Mc Cain</t>
  </si>
  <si>
    <t>Idahoan</t>
  </si>
  <si>
    <t>Basic American</t>
  </si>
  <si>
    <t>Bongard's</t>
  </si>
  <si>
    <t>Pilgrim's Pride</t>
  </si>
  <si>
    <t>To Fill out each tab:</t>
  </si>
  <si>
    <t>Vendor:</t>
  </si>
  <si>
    <t xml:space="preserve">JTM </t>
  </si>
  <si>
    <t>Pass-Thru Value per case ($)</t>
  </si>
  <si>
    <t>Is product available through the NOI VPT Method? (Y/N)</t>
  </si>
  <si>
    <r>
      <t xml:space="preserve">Enter if the Product is available through the NOI VPT Method, in Column </t>
    </r>
    <r>
      <rPr>
        <b/>
        <sz val="11"/>
        <color theme="1"/>
        <rFont val="Calibri"/>
        <family val="2"/>
        <scheme val="minor"/>
      </rPr>
      <t>D</t>
    </r>
    <r>
      <rPr>
        <sz val="11"/>
        <color theme="1"/>
        <rFont val="Calibri"/>
        <family val="2"/>
        <scheme val="minor"/>
      </rPr>
      <t>. If no product is available, mark No and leave the rest blank.</t>
    </r>
  </si>
  <si>
    <t>3. Respondant may only enter information in the peach colored cells.</t>
  </si>
  <si>
    <t>Cheese Filled Breadstick</t>
  </si>
  <si>
    <t>Region 1: Fixed Fee Per Case ($)</t>
  </si>
  <si>
    <t>Region 2: Fixed Fee Per Case ($)</t>
  </si>
  <si>
    <t>Region 1</t>
  </si>
  <si>
    <t>Region 2</t>
  </si>
  <si>
    <t>Instructions for Respondent</t>
  </si>
  <si>
    <t>(Respondent Name)</t>
  </si>
  <si>
    <r>
      <t xml:space="preserve">2. Products are grouped into material categories on separate </t>
    </r>
    <r>
      <rPr>
        <b/>
        <sz val="11"/>
        <color theme="1"/>
        <rFont val="Calibri"/>
        <family val="2"/>
        <scheme val="minor"/>
      </rPr>
      <t xml:space="preserve">TABS. </t>
    </r>
    <r>
      <rPr>
        <sz val="11"/>
        <color theme="1"/>
        <rFont val="Calibri"/>
        <family val="2"/>
        <scheme val="minor"/>
      </rPr>
      <t xml:space="preserve">Product Specifications are outline in </t>
    </r>
    <r>
      <rPr>
        <b/>
        <sz val="11"/>
        <color theme="1"/>
        <rFont val="Calibri"/>
        <family val="2"/>
        <scheme val="minor"/>
      </rPr>
      <t xml:space="preserve">Attachement #. </t>
    </r>
  </si>
  <si>
    <t>NOI Net Cost Per Case (O-N)+P</t>
  </si>
  <si>
    <t>NOI Net Cost Per Case (O-N)+Q</t>
  </si>
  <si>
    <t>Total Cost Per Serving (O+P)/J</t>
  </si>
  <si>
    <t>Total Cost Per Year (T*K)</t>
  </si>
  <si>
    <t>Total Cost Per Serving (O+Q)/J</t>
  </si>
  <si>
    <t>Total Cost Per Year (W*K)</t>
  </si>
  <si>
    <t>International Food Solutions</t>
  </si>
  <si>
    <t>Beef Philly Style</t>
  </si>
  <si>
    <t>Beef Rib Patty</t>
  </si>
  <si>
    <t>Beef Shreds</t>
  </si>
  <si>
    <t>Pork Patty, Breaded</t>
  </si>
  <si>
    <t>Pork Rib Patty</t>
  </si>
  <si>
    <t>Pork Sausage Patty</t>
  </si>
  <si>
    <t>Chicken Fajita</t>
  </si>
  <si>
    <t>Chicken Diced</t>
  </si>
  <si>
    <t>Grilled Filet</t>
  </si>
  <si>
    <t>Breaded Filet</t>
  </si>
  <si>
    <t>Chicken Breaded Boneless "wings"</t>
  </si>
  <si>
    <t>Chicken Drumstick</t>
  </si>
  <si>
    <t>Chicken Nuggets</t>
  </si>
  <si>
    <t>Chicken Popcorn</t>
  </si>
  <si>
    <t>Chicken Patty</t>
  </si>
  <si>
    <t>Chicken Patty Spicy</t>
  </si>
  <si>
    <t>Chicken Strips</t>
  </si>
  <si>
    <t>Foster Farms</t>
  </si>
  <si>
    <t>Orange/Tangerine Chicken</t>
  </si>
  <si>
    <t>Chefs Corner</t>
  </si>
  <si>
    <t>Sweet &amp; Spicy Chicken</t>
  </si>
  <si>
    <t>Teriyaki Chicken</t>
  </si>
  <si>
    <t>Mini Corndog</t>
  </si>
  <si>
    <t>Turkey Breast Sliced</t>
  </si>
  <si>
    <t xml:space="preserve">Hormel </t>
  </si>
  <si>
    <t>Turkey Ham Sliced</t>
  </si>
  <si>
    <t>Turkey Deli Combo</t>
  </si>
  <si>
    <t>Turkey Deli Breast Coins</t>
  </si>
  <si>
    <t>Turkey Crumbles Taco</t>
  </si>
  <si>
    <t>Omelet, Cheese</t>
  </si>
  <si>
    <t>Eggs, Hard cooked</t>
  </si>
  <si>
    <t>Cargill</t>
  </si>
  <si>
    <t>Michael Foods</t>
  </si>
  <si>
    <t>Cheese Pizza Slice</t>
  </si>
  <si>
    <t>S A Piazza</t>
  </si>
  <si>
    <t>Cheese Pizza 4x6</t>
  </si>
  <si>
    <t>Cheese Pizza Stuffed Crust</t>
  </si>
  <si>
    <t>Pepperoni Pizza Slice</t>
  </si>
  <si>
    <t>Pepperoni Pizza 4x6</t>
  </si>
  <si>
    <t>Pepperoni Pizza Stuffed Crust</t>
  </si>
  <si>
    <t>Sausage Pizza 4x6</t>
  </si>
  <si>
    <t>Garlic Cheese French Bread</t>
  </si>
  <si>
    <t>Pepperoni French Bread</t>
  </si>
  <si>
    <t>Cheese Pizza Individual</t>
  </si>
  <si>
    <t>Pepperoni Pizza Individual</t>
  </si>
  <si>
    <t>Mexican Pizza Individual</t>
  </si>
  <si>
    <t>Breaded Mozzarella Sticks</t>
  </si>
  <si>
    <t>Breaded Mozzarella Sticks with Sauce</t>
  </si>
  <si>
    <t>Nardone's</t>
  </si>
  <si>
    <t>Cheddar Shredded</t>
  </si>
  <si>
    <t>Mozz Shredded</t>
  </si>
  <si>
    <t>American Sliced Yellow</t>
  </si>
  <si>
    <t>American Sliced White</t>
  </si>
  <si>
    <t>Mozz String Cheese IW</t>
  </si>
  <si>
    <t>Colby Jack Sticks IW</t>
  </si>
  <si>
    <t>Cheddar Cheese Cubes Bulk</t>
  </si>
  <si>
    <t>Cheddar Cheese Cubes IW</t>
  </si>
  <si>
    <t>Cheese Sauce Yellow</t>
  </si>
  <si>
    <t>Cheese Sauce White</t>
  </si>
  <si>
    <t>Macaroni &amp; Cheese</t>
  </si>
  <si>
    <t>Breakfast Burrito/Wrap</t>
  </si>
  <si>
    <t>MCI Los Cabos</t>
  </si>
  <si>
    <t>Quesadilla Cheese</t>
  </si>
  <si>
    <t>Quesadilla Chicken &amp; Cheese</t>
  </si>
  <si>
    <r>
      <t xml:space="preserve">1. Enter Respondent's Name in the </t>
    </r>
    <r>
      <rPr>
        <b/>
        <sz val="11"/>
        <color theme="1"/>
        <rFont val="Calibri"/>
        <family val="2"/>
        <scheme val="minor"/>
      </rPr>
      <t>Peach block</t>
    </r>
    <r>
      <rPr>
        <sz val="11"/>
        <color theme="1"/>
        <rFont val="Calibri"/>
        <family val="2"/>
        <scheme val="minor"/>
      </rPr>
      <t xml:space="preserve"> on Line 2 </t>
    </r>
    <r>
      <rPr>
        <b/>
        <sz val="11"/>
        <color theme="1"/>
        <rFont val="Calibri"/>
        <family val="2"/>
        <scheme val="minor"/>
      </rPr>
      <t>ABOVE</t>
    </r>
    <r>
      <rPr>
        <sz val="11"/>
        <color theme="1"/>
        <rFont val="Calibri"/>
        <family val="2"/>
        <scheme val="minor"/>
      </rPr>
      <t>. Name will auto-fill to green block on all tabs</t>
    </r>
  </si>
  <si>
    <t>Applesauce Cup, Cinnamon</t>
  </si>
  <si>
    <t>Applesauce Cup, Strawberry</t>
  </si>
  <si>
    <t>Applesauce Cup, Peach</t>
  </si>
  <si>
    <t>Pear Cups, Diced</t>
  </si>
  <si>
    <t>Mixed Fruit Cup</t>
  </si>
  <si>
    <t>Apples, Sliced Bulk</t>
  </si>
  <si>
    <t>Apples, Sliced IW</t>
  </si>
  <si>
    <t>Enter if the Product meets written product nutritional specifications in attachment # in Column E. Products that don't meet the written specifications can still be considered.</t>
  </si>
  <si>
    <t>PB &amp; Grape Sandwich</t>
  </si>
  <si>
    <t>PB &amp; Strawberry Sandwich</t>
  </si>
  <si>
    <t>PB Cup, Creamy</t>
  </si>
  <si>
    <t>PB Bulk</t>
  </si>
  <si>
    <t>Potato</t>
  </si>
  <si>
    <t>Mashed Potato</t>
  </si>
  <si>
    <t>Sweet Potato Crinkle Cut</t>
  </si>
  <si>
    <t>Sweet Potato Waffle Cut</t>
  </si>
  <si>
    <t>Sweet Potato Straight Cut</t>
  </si>
  <si>
    <t>White Potato Crinkle Cut</t>
  </si>
  <si>
    <t>White Potato Wedges</t>
  </si>
  <si>
    <t>White Potato Tots</t>
  </si>
  <si>
    <t>Hashbrown</t>
  </si>
  <si>
    <t>Cavendish</t>
  </si>
  <si>
    <t>Tomato</t>
  </si>
  <si>
    <t>Marinara Sauce Cup</t>
  </si>
  <si>
    <t>Marinara Sauce Bulk</t>
  </si>
  <si>
    <t>Salsa Cup</t>
  </si>
  <si>
    <t>Salsa Bulk</t>
  </si>
  <si>
    <t>Spaghetti Sauce Bulk</t>
  </si>
  <si>
    <t>Ketchup Cup</t>
  </si>
  <si>
    <t>Ketchup Packet</t>
  </si>
  <si>
    <t>Ketchup Bulk</t>
  </si>
  <si>
    <t>Heinz</t>
  </si>
  <si>
    <t xml:space="preserve">Red Gold </t>
  </si>
  <si>
    <t>Does the product meet the written nutritional specifications in Attachment #? (Y/N)</t>
  </si>
  <si>
    <r>
      <t xml:space="preserve">Enter Manufacturer's </t>
    </r>
    <r>
      <rPr>
        <b/>
        <sz val="11"/>
        <color theme="1"/>
        <rFont val="Calibri"/>
        <family val="2"/>
        <scheme val="minor"/>
      </rPr>
      <t>Product Description</t>
    </r>
    <r>
      <rPr>
        <sz val="11"/>
        <color theme="1"/>
        <rFont val="Calibri"/>
        <family val="2"/>
        <scheme val="minor"/>
      </rPr>
      <t xml:space="preserve"> in Column </t>
    </r>
    <r>
      <rPr>
        <b/>
        <sz val="11"/>
        <color theme="1"/>
        <rFont val="Calibri"/>
        <family val="2"/>
        <scheme val="minor"/>
      </rPr>
      <t>F</t>
    </r>
    <r>
      <rPr>
        <sz val="11"/>
        <color theme="1"/>
        <rFont val="Calibri"/>
        <family val="2"/>
        <scheme val="minor"/>
      </rPr>
      <t>.</t>
    </r>
  </si>
  <si>
    <r>
      <t xml:space="preserve">Enter Manufacturer's </t>
    </r>
    <r>
      <rPr>
        <b/>
        <sz val="11"/>
        <color theme="1"/>
        <rFont val="Calibri"/>
        <family val="2"/>
        <scheme val="minor"/>
      </rPr>
      <t>Product Code</t>
    </r>
    <r>
      <rPr>
        <sz val="11"/>
        <color theme="1"/>
        <rFont val="Calibri"/>
        <family val="2"/>
        <scheme val="minor"/>
      </rPr>
      <t xml:space="preserve"> in Column </t>
    </r>
    <r>
      <rPr>
        <b/>
        <sz val="11"/>
        <color theme="1"/>
        <rFont val="Calibri"/>
        <family val="2"/>
        <scheme val="minor"/>
      </rPr>
      <t>G</t>
    </r>
    <r>
      <rPr>
        <sz val="11"/>
        <color theme="1"/>
        <rFont val="Calibri"/>
        <family val="2"/>
        <scheme val="minor"/>
      </rPr>
      <t>.</t>
    </r>
  </si>
  <si>
    <r>
      <t xml:space="preserve">If you utlize internal product codes, please enter your equivalent </t>
    </r>
    <r>
      <rPr>
        <b/>
        <sz val="11"/>
        <color theme="1"/>
        <rFont val="Calibri"/>
        <family val="2"/>
        <scheme val="minor"/>
      </rPr>
      <t>Product Code</t>
    </r>
    <r>
      <rPr>
        <sz val="11"/>
        <color theme="1"/>
        <rFont val="Calibri"/>
        <family val="2"/>
        <scheme val="minor"/>
      </rPr>
      <t xml:space="preserve"> for product in Column </t>
    </r>
    <r>
      <rPr>
        <b/>
        <sz val="11"/>
        <color theme="1"/>
        <rFont val="Calibri"/>
        <family val="2"/>
        <scheme val="minor"/>
      </rPr>
      <t>H.</t>
    </r>
  </si>
  <si>
    <r>
      <t xml:space="preserve">Enter </t>
    </r>
    <r>
      <rPr>
        <b/>
        <sz val="11"/>
        <color theme="1"/>
        <rFont val="Calibri"/>
        <family val="2"/>
        <scheme val="minor"/>
      </rPr>
      <t>Pack Size</t>
    </r>
    <r>
      <rPr>
        <sz val="11"/>
        <color theme="1"/>
        <rFont val="Calibri"/>
        <family val="2"/>
        <scheme val="minor"/>
      </rPr>
      <t xml:space="preserve"> of Product in Column </t>
    </r>
    <r>
      <rPr>
        <b/>
        <sz val="11"/>
        <color theme="1"/>
        <rFont val="Calibri"/>
        <family val="2"/>
        <scheme val="minor"/>
      </rPr>
      <t>I</t>
    </r>
    <r>
      <rPr>
        <sz val="11"/>
        <color theme="1"/>
        <rFont val="Calibri"/>
        <family val="2"/>
        <scheme val="minor"/>
      </rPr>
      <t>.</t>
    </r>
  </si>
  <si>
    <r>
      <t xml:space="preserve">Enter # of servings per CN Crediting specified in </t>
    </r>
    <r>
      <rPr>
        <b/>
        <sz val="11"/>
        <color theme="1"/>
        <rFont val="Calibri"/>
        <family val="2"/>
        <scheme val="minor"/>
      </rPr>
      <t xml:space="preserve">Product Specifications </t>
    </r>
    <r>
      <rPr>
        <sz val="11"/>
        <color theme="1"/>
        <rFont val="Calibri"/>
        <family val="2"/>
        <scheme val="minor"/>
      </rPr>
      <t xml:space="preserve">in Column </t>
    </r>
    <r>
      <rPr>
        <b/>
        <sz val="11"/>
        <color theme="1"/>
        <rFont val="Calibri"/>
        <family val="2"/>
        <scheme val="minor"/>
      </rPr>
      <t>J.</t>
    </r>
  </si>
  <si>
    <t>Estimated # of servings is based off of school requests state wide for SY 24-25 when applicable, in Column K.</t>
  </si>
  <si>
    <r>
      <t xml:space="preserve">Enter the </t>
    </r>
    <r>
      <rPr>
        <b/>
        <sz val="11"/>
        <color theme="1"/>
        <rFont val="Calibri"/>
        <family val="2"/>
        <scheme val="minor"/>
      </rPr>
      <t>USDA Material Code</t>
    </r>
    <r>
      <rPr>
        <sz val="11"/>
        <color theme="1"/>
        <rFont val="Calibri"/>
        <family val="2"/>
        <scheme val="minor"/>
      </rPr>
      <t xml:space="preserve"> needing for Diversion for product, from manufacturer's approved SEPDS for SY 25-26 in Column </t>
    </r>
    <r>
      <rPr>
        <b/>
        <sz val="11"/>
        <color theme="1"/>
        <rFont val="Calibri"/>
        <family val="2"/>
        <scheme val="minor"/>
      </rPr>
      <t>L.</t>
    </r>
  </si>
  <si>
    <r>
      <t xml:space="preserve">Enter the </t>
    </r>
    <r>
      <rPr>
        <b/>
        <sz val="11"/>
        <color theme="1"/>
        <rFont val="Calibri"/>
        <family val="2"/>
        <scheme val="minor"/>
      </rPr>
      <t># of lbs</t>
    </r>
    <r>
      <rPr>
        <sz val="11"/>
        <color theme="1"/>
        <rFont val="Calibri"/>
        <family val="2"/>
        <scheme val="minor"/>
      </rPr>
      <t xml:space="preserve"> needed for Diversion for product, from manufacturer's approved SEPDS for SY 25-26 in Column </t>
    </r>
    <r>
      <rPr>
        <b/>
        <sz val="11"/>
        <color theme="1"/>
        <rFont val="Calibri"/>
        <family val="2"/>
        <scheme val="minor"/>
      </rPr>
      <t>M</t>
    </r>
    <r>
      <rPr>
        <sz val="11"/>
        <color theme="1"/>
        <rFont val="Calibri"/>
        <family val="2"/>
        <scheme val="minor"/>
      </rPr>
      <t>.</t>
    </r>
  </si>
  <si>
    <r>
      <t xml:space="preserve">Enter the </t>
    </r>
    <r>
      <rPr>
        <b/>
        <sz val="11"/>
        <color theme="1"/>
        <rFont val="Calibri"/>
        <family val="2"/>
        <scheme val="minor"/>
      </rPr>
      <t>Pass-Thru Value</t>
    </r>
    <r>
      <rPr>
        <sz val="11"/>
        <color theme="1"/>
        <rFont val="Calibri"/>
        <family val="2"/>
        <scheme val="minor"/>
      </rPr>
      <t xml:space="preserve"> for product, from manufacturer's approved SEPDS for SY 25-26 in Column </t>
    </r>
    <r>
      <rPr>
        <b/>
        <sz val="11"/>
        <color theme="1"/>
        <rFont val="Calibri"/>
        <family val="2"/>
        <scheme val="minor"/>
      </rPr>
      <t>N</t>
    </r>
    <r>
      <rPr>
        <sz val="11"/>
        <color theme="1"/>
        <rFont val="Calibri"/>
        <family val="2"/>
        <scheme val="minor"/>
      </rPr>
      <t>.</t>
    </r>
  </si>
  <si>
    <r>
      <t xml:space="preserve">Enter the </t>
    </r>
    <r>
      <rPr>
        <b/>
        <sz val="11"/>
        <color theme="1"/>
        <rFont val="Calibri"/>
        <family val="2"/>
        <scheme val="minor"/>
      </rPr>
      <t>Commercial Bid Price</t>
    </r>
    <r>
      <rPr>
        <sz val="11"/>
        <color theme="1"/>
        <rFont val="Calibri"/>
        <family val="2"/>
        <scheme val="minor"/>
      </rPr>
      <t xml:space="preserve"> for the product from Manufacturer in Column</t>
    </r>
    <r>
      <rPr>
        <b/>
        <sz val="11"/>
        <color theme="1"/>
        <rFont val="Calibri"/>
        <family val="2"/>
        <scheme val="minor"/>
      </rPr>
      <t xml:space="preserve"> O.</t>
    </r>
  </si>
  <si>
    <r>
      <t xml:space="preserve">Enter the </t>
    </r>
    <r>
      <rPr>
        <b/>
        <sz val="11"/>
        <color theme="1"/>
        <rFont val="Calibri"/>
        <family val="2"/>
        <scheme val="minor"/>
      </rPr>
      <t>Fixed Fee</t>
    </r>
    <r>
      <rPr>
        <sz val="11"/>
        <color theme="1"/>
        <rFont val="Calibri"/>
        <family val="2"/>
        <scheme val="minor"/>
      </rPr>
      <t xml:space="preserve"> per case to deliver the product from Vendor warehouse to RA locations in Region 1 in Column </t>
    </r>
    <r>
      <rPr>
        <b/>
        <sz val="11"/>
        <color theme="1"/>
        <rFont val="Calibri"/>
        <family val="2"/>
        <scheme val="minor"/>
      </rPr>
      <t>P</t>
    </r>
    <r>
      <rPr>
        <sz val="11"/>
        <color theme="1"/>
        <rFont val="Calibri"/>
        <family val="2"/>
        <scheme val="minor"/>
      </rPr>
      <t>.</t>
    </r>
  </si>
  <si>
    <r>
      <t xml:space="preserve">Enter the </t>
    </r>
    <r>
      <rPr>
        <b/>
        <sz val="11"/>
        <color theme="1"/>
        <rFont val="Calibri"/>
        <family val="2"/>
        <scheme val="minor"/>
      </rPr>
      <t>Fixed Fee</t>
    </r>
    <r>
      <rPr>
        <sz val="11"/>
        <color theme="1"/>
        <rFont val="Calibri"/>
        <family val="2"/>
        <scheme val="minor"/>
      </rPr>
      <t xml:space="preserve"> per case to deliver the product from Vendor warehouse to RA locations in Region 2 in Column </t>
    </r>
    <r>
      <rPr>
        <b/>
        <sz val="11"/>
        <color theme="1"/>
        <rFont val="Calibri"/>
        <family val="2"/>
        <scheme val="minor"/>
      </rPr>
      <t>Q</t>
    </r>
    <r>
      <rPr>
        <sz val="11"/>
        <color theme="1"/>
        <rFont val="Calibri"/>
        <family val="2"/>
        <scheme val="minor"/>
      </rPr>
      <t>.</t>
    </r>
  </si>
  <si>
    <r>
      <t xml:space="preserve">If the product is a </t>
    </r>
    <r>
      <rPr>
        <b/>
        <sz val="11"/>
        <color theme="1"/>
        <rFont val="Calibri"/>
        <family val="2"/>
        <scheme val="minor"/>
      </rPr>
      <t>Special Order</t>
    </r>
    <r>
      <rPr>
        <sz val="11"/>
        <color theme="1"/>
        <rFont val="Calibri"/>
        <family val="2"/>
        <scheme val="minor"/>
      </rPr>
      <t xml:space="preserve"> item, please indicate Y in Column </t>
    </r>
    <r>
      <rPr>
        <b/>
        <sz val="11"/>
        <color theme="1"/>
        <rFont val="Calibri"/>
        <family val="2"/>
        <scheme val="minor"/>
      </rPr>
      <t>R</t>
    </r>
    <r>
      <rPr>
        <sz val="11"/>
        <color theme="1"/>
        <rFont val="Calibri"/>
        <family val="2"/>
        <scheme val="minor"/>
      </rPr>
      <t>.</t>
    </r>
  </si>
  <si>
    <r>
      <t>May</t>
    </r>
    <r>
      <rPr>
        <sz val="11"/>
        <color theme="1"/>
        <rFont val="Calibri"/>
        <family val="2"/>
        <scheme val="minor"/>
      </rPr>
      <t xml:space="preserve"> submit up to 2 different product codes, matching the product specification, per manufacturer. Some known manufacturers are listed, but you may enter information for known and unknown manufacturers. Submit at least two different products minimum, or provide justification for only one product being submitted. </t>
    </r>
    <r>
      <rPr>
        <b/>
        <sz val="11"/>
        <color theme="1"/>
        <rFont val="Calibri"/>
        <family val="2"/>
        <scheme val="minor"/>
      </rPr>
      <t>Note</t>
    </r>
    <r>
      <rPr>
        <sz val="11"/>
        <color theme="1"/>
        <rFont val="Calibri"/>
        <family val="2"/>
        <scheme val="minor"/>
      </rPr>
      <t xml:space="preserve">: all items submitted must be commodity processed items and available through the </t>
    </r>
    <r>
      <rPr>
        <b/>
        <sz val="11"/>
        <color theme="1"/>
        <rFont val="Calibri"/>
        <family val="2"/>
        <scheme val="minor"/>
      </rPr>
      <t>Net Off Invoice(NOI</t>
    </r>
    <r>
      <rPr>
        <sz val="11"/>
        <color theme="1"/>
        <rFont val="Calibri"/>
        <family val="2"/>
        <scheme val="minor"/>
      </rPr>
      <t>)</t>
    </r>
    <r>
      <rPr>
        <b/>
        <sz val="11"/>
        <color theme="1"/>
        <rFont val="Calibri"/>
        <family val="2"/>
        <scheme val="minor"/>
      </rPr>
      <t xml:space="preserve"> Value Pass Through (VPT) Method</t>
    </r>
    <r>
      <rPr>
        <sz val="11"/>
        <color theme="1"/>
        <rFont val="Calibri"/>
        <family val="2"/>
        <scheme val="minor"/>
      </rPr>
      <t>, all other products are ineligible.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</si>
</sst>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rgb="FF92D050"/>
        <bgColor indexed="64"/>
      </patternFill>
    </fill>
  </fills>
  <borders count="3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auto="1"/>
      </top>
      <bottom style="thin">
        <color auto="1"/>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03">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xf numFmtId="0" fontId="0" fillId="2" borderId="2" xfId="0" applyFill="1" applyBorder="1" applyProtection="1">
      <protection locked="0"/>
    </xf>
    <xf numFmtId="0" fontId="0" fillId="2" borderId="5" xfId="0" applyFill="1" applyBorder="1" applyProtection="1">
      <protection locked="0"/>
    </xf>
    <xf numFmtId="0" fontId="0" fillId="2" borderId="8" xfId="0" applyFill="1" applyBorder="1" applyProtection="1">
      <protection locked="0"/>
    </xf>
    <xf numFmtId="0" fontId="0" fillId="0" borderId="0" xfId="0" applyProtection="1"/>
    <xf numFmtId="0" fontId="0" fillId="0" borderId="0" xfId="0" applyAlignment="1" applyProtection="1">
      <alignment wrapText="1"/>
    </xf>
    <xf numFmtId="0" fontId="0" fillId="0" borderId="1" xfId="0" applyBorder="1" applyProtection="1"/>
    <xf numFmtId="0" fontId="0" fillId="0" borderId="4" xfId="0" applyBorder="1" applyProtection="1"/>
    <xf numFmtId="0" fontId="0" fillId="0" borderId="7" xfId="0" applyBorder="1" applyProtection="1"/>
    <xf numFmtId="0" fontId="0" fillId="2" borderId="16" xfId="0" applyFill="1" applyBorder="1" applyAlignment="1" applyProtection="1">
      <alignment horizontal="center" wrapText="1"/>
      <protection locked="0"/>
    </xf>
    <xf numFmtId="43" fontId="0" fillId="0" borderId="2" xfId="2" applyFont="1" applyBorder="1" applyProtection="1"/>
    <xf numFmtId="43" fontId="0" fillId="0" borderId="5" xfId="2" applyFont="1" applyBorder="1" applyProtection="1"/>
    <xf numFmtId="43" fontId="0" fillId="0" borderId="8" xfId="2" applyFont="1" applyBorder="1" applyProtection="1"/>
    <xf numFmtId="49" fontId="0" fillId="0" borderId="0" xfId="2" applyNumberFormat="1" applyFont="1" applyAlignment="1" applyProtection="1">
      <alignment wrapText="1"/>
    </xf>
    <xf numFmtId="0" fontId="0" fillId="2" borderId="23" xfId="0" applyFill="1" applyBorder="1" applyProtection="1">
      <protection locked="0"/>
    </xf>
    <xf numFmtId="0" fontId="0" fillId="2" borderId="24" xfId="0" applyFill="1" applyBorder="1" applyProtection="1">
      <protection locked="0"/>
    </xf>
    <xf numFmtId="0" fontId="0" fillId="2" borderId="25" xfId="0" applyFill="1" applyBorder="1" applyProtection="1">
      <protection locked="0"/>
    </xf>
    <xf numFmtId="0" fontId="0" fillId="2" borderId="20" xfId="0" applyFill="1" applyBorder="1" applyProtection="1">
      <protection locked="0"/>
    </xf>
    <xf numFmtId="0" fontId="0" fillId="2" borderId="21" xfId="0" applyFill="1" applyBorder="1" applyProtection="1">
      <protection locked="0"/>
    </xf>
    <xf numFmtId="0" fontId="0" fillId="2" borderId="22" xfId="0" applyFill="1" applyBorder="1" applyProtection="1">
      <protection locked="0"/>
    </xf>
    <xf numFmtId="0" fontId="0" fillId="0" borderId="5" xfId="0" applyBorder="1" applyProtection="1"/>
    <xf numFmtId="0" fontId="0" fillId="0" borderId="17" xfId="0" applyBorder="1" applyProtection="1"/>
    <xf numFmtId="0" fontId="0" fillId="2" borderId="17" xfId="0" applyFill="1" applyBorder="1" applyProtection="1">
      <protection locked="0"/>
    </xf>
    <xf numFmtId="0" fontId="0" fillId="0" borderId="21" xfId="0" applyBorder="1" applyProtection="1"/>
    <xf numFmtId="0" fontId="0" fillId="0" borderId="12" xfId="0" applyFill="1" applyBorder="1" applyProtection="1"/>
    <xf numFmtId="0" fontId="0" fillId="0" borderId="14" xfId="0" applyFill="1" applyBorder="1" applyProtection="1"/>
    <xf numFmtId="0" fontId="0" fillId="0" borderId="13" xfId="0" applyFill="1" applyBorder="1" applyProtection="1"/>
    <xf numFmtId="0" fontId="0" fillId="0" borderId="32" xfId="0" applyBorder="1" applyProtection="1"/>
    <xf numFmtId="0" fontId="0" fillId="0" borderId="1" xfId="0" applyBorder="1" applyAlignment="1" applyProtection="1">
      <alignment wrapText="1"/>
    </xf>
    <xf numFmtId="0" fontId="0" fillId="0" borderId="4" xfId="0" applyBorder="1" applyAlignment="1" applyProtection="1">
      <alignment wrapText="1"/>
    </xf>
    <xf numFmtId="0" fontId="0" fillId="0" borderId="7" xfId="0" applyBorder="1" applyAlignment="1" applyProtection="1">
      <alignment wrapText="1"/>
    </xf>
    <xf numFmtId="0" fontId="0" fillId="0" borderId="15" xfId="0" applyFill="1" applyBorder="1" applyProtection="1"/>
    <xf numFmtId="0" fontId="0" fillId="0" borderId="10" xfId="0" applyBorder="1" applyProtection="1"/>
    <xf numFmtId="0" fontId="0" fillId="2" borderId="10" xfId="0" applyFill="1" applyBorder="1" applyProtection="1">
      <protection locked="0"/>
    </xf>
    <xf numFmtId="0" fontId="0" fillId="0" borderId="11" xfId="0" applyBorder="1" applyProtection="1"/>
    <xf numFmtId="0" fontId="0" fillId="0" borderId="36" xfId="0" applyBorder="1" applyProtection="1"/>
    <xf numFmtId="0" fontId="0" fillId="0" borderId="22" xfId="0" applyBorder="1" applyProtection="1"/>
    <xf numFmtId="0" fontId="0" fillId="0" borderId="20" xfId="0" applyBorder="1" applyProtection="1"/>
    <xf numFmtId="0" fontId="0" fillId="0" borderId="20" xfId="0" applyBorder="1" applyAlignment="1" applyProtection="1">
      <alignment wrapText="1"/>
    </xf>
    <xf numFmtId="0" fontId="0" fillId="0" borderId="21" xfId="0" applyBorder="1" applyAlignment="1" applyProtection="1">
      <alignment wrapText="1"/>
    </xf>
    <xf numFmtId="0" fontId="0" fillId="0" borderId="22" xfId="0" applyBorder="1" applyAlignment="1" applyProtection="1">
      <alignment wrapText="1"/>
    </xf>
    <xf numFmtId="0" fontId="0" fillId="0" borderId="37" xfId="0" applyBorder="1" applyProtection="1"/>
    <xf numFmtId="0" fontId="0" fillId="0" borderId="38" xfId="0" applyBorder="1" applyProtection="1"/>
    <xf numFmtId="164" fontId="0" fillId="0" borderId="2" xfId="2" applyNumberFormat="1" applyFont="1" applyBorder="1" applyProtection="1"/>
    <xf numFmtId="164" fontId="0" fillId="0" borderId="5" xfId="2" applyNumberFormat="1" applyFont="1" applyBorder="1" applyProtection="1"/>
    <xf numFmtId="164" fontId="0" fillId="0" borderId="8" xfId="2" applyNumberFormat="1" applyFont="1" applyBorder="1" applyProtection="1"/>
    <xf numFmtId="164" fontId="0" fillId="0" borderId="10" xfId="2" applyNumberFormat="1" applyFont="1" applyBorder="1" applyProtection="1"/>
    <xf numFmtId="0" fontId="0" fillId="0" borderId="19" xfId="0" applyFill="1" applyBorder="1" applyProtection="1"/>
    <xf numFmtId="0" fontId="0" fillId="0" borderId="37" xfId="0" applyBorder="1" applyAlignment="1" applyProtection="1">
      <alignment wrapText="1"/>
    </xf>
    <xf numFmtId="0" fontId="0" fillId="0" borderId="12" xfId="0" applyBorder="1" applyProtection="1"/>
    <xf numFmtId="0" fontId="0" fillId="0" borderId="14" xfId="0" applyBorder="1" applyProtection="1"/>
    <xf numFmtId="0" fontId="0" fillId="0" borderId="13" xfId="0" applyBorder="1" applyProtection="1"/>
    <xf numFmtId="164" fontId="0" fillId="0" borderId="31" xfId="2" applyNumberFormat="1" applyFont="1" applyBorder="1" applyProtection="1"/>
    <xf numFmtId="164" fontId="0" fillId="0" borderId="17" xfId="2" applyNumberFormat="1" applyFont="1" applyBorder="1" applyProtection="1"/>
    <xf numFmtId="0" fontId="0" fillId="0" borderId="0" xfId="0" applyAlignment="1" applyProtection="1">
      <alignment horizontal="center" wrapText="1"/>
    </xf>
    <xf numFmtId="0" fontId="2" fillId="0" borderId="0" xfId="0" applyFont="1" applyAlignment="1" applyProtection="1">
      <alignment horizontal="left" wrapText="1"/>
    </xf>
    <xf numFmtId="0" fontId="0" fillId="0" borderId="0" xfId="0" applyAlignment="1" applyProtection="1">
      <alignment horizontal="left" wrapText="1"/>
    </xf>
    <xf numFmtId="0" fontId="0" fillId="0" borderId="0" xfId="0" applyFont="1" applyAlignment="1" applyProtection="1">
      <alignment horizontal="left" wrapText="1"/>
    </xf>
    <xf numFmtId="43" fontId="0" fillId="0" borderId="0" xfId="2" applyFont="1" applyProtection="1"/>
    <xf numFmtId="0" fontId="0" fillId="0" borderId="29" xfId="0" applyBorder="1" applyAlignment="1" applyProtection="1">
      <alignment wrapText="1"/>
    </xf>
    <xf numFmtId="0" fontId="0" fillId="0" borderId="0" xfId="0" applyBorder="1" applyAlignment="1" applyProtection="1">
      <alignment wrapText="1"/>
    </xf>
    <xf numFmtId="0" fontId="0" fillId="0" borderId="30" xfId="0" applyBorder="1" applyAlignment="1" applyProtection="1">
      <alignment wrapText="1"/>
    </xf>
    <xf numFmtId="44" fontId="0" fillId="0" borderId="2" xfId="1" applyFont="1" applyFill="1" applyBorder="1" applyProtection="1"/>
    <xf numFmtId="44" fontId="0" fillId="0" borderId="2" xfId="1" applyFont="1" applyBorder="1" applyProtection="1"/>
    <xf numFmtId="44" fontId="0" fillId="0" borderId="3" xfId="1" applyFont="1" applyBorder="1" applyProtection="1"/>
    <xf numFmtId="44" fontId="0" fillId="0" borderId="5" xfId="1" applyFont="1" applyFill="1" applyBorder="1" applyProtection="1"/>
    <xf numFmtId="44" fontId="0" fillId="0" borderId="5" xfId="1" applyFont="1" applyBorder="1" applyProtection="1"/>
    <xf numFmtId="44" fontId="0" fillId="0" borderId="6" xfId="1" applyFont="1" applyBorder="1" applyProtection="1"/>
    <xf numFmtId="44" fontId="0" fillId="0" borderId="8" xfId="1" applyFont="1" applyFill="1" applyBorder="1" applyProtection="1"/>
    <xf numFmtId="44" fontId="0" fillId="0" borderId="8" xfId="1" applyFont="1" applyBorder="1" applyProtection="1"/>
    <xf numFmtId="44" fontId="0" fillId="0" borderId="9" xfId="1" applyFont="1" applyBorder="1" applyProtection="1"/>
    <xf numFmtId="44" fontId="0" fillId="0" borderId="2" xfId="1" applyNumberFormat="1" applyFont="1" applyBorder="1" applyProtection="1"/>
    <xf numFmtId="44" fontId="0" fillId="0" borderId="5" xfId="1" applyNumberFormat="1" applyFont="1" applyBorder="1" applyProtection="1"/>
    <xf numFmtId="44" fontId="0" fillId="0" borderId="8" xfId="1" applyNumberFormat="1" applyFont="1" applyBorder="1" applyProtection="1"/>
    <xf numFmtId="44" fontId="0" fillId="0" borderId="2" xfId="1" applyNumberFormat="1" applyFont="1" applyFill="1" applyBorder="1" applyProtection="1"/>
    <xf numFmtId="44" fontId="0" fillId="0" borderId="3" xfId="1" applyNumberFormat="1" applyFont="1" applyBorder="1" applyProtection="1"/>
    <xf numFmtId="44" fontId="0" fillId="0" borderId="5" xfId="1" applyNumberFormat="1" applyFont="1" applyFill="1" applyBorder="1" applyProtection="1"/>
    <xf numFmtId="44" fontId="0" fillId="0" borderId="6" xfId="1" applyNumberFormat="1" applyFont="1" applyBorder="1" applyProtection="1"/>
    <xf numFmtId="44" fontId="0" fillId="0" borderId="8" xfId="1" applyNumberFormat="1" applyFont="1" applyFill="1" applyBorder="1" applyProtection="1"/>
    <xf numFmtId="44" fontId="0" fillId="0" borderId="9" xfId="1" applyNumberFormat="1" applyFont="1" applyBorder="1" applyProtection="1"/>
    <xf numFmtId="0" fontId="0" fillId="0" borderId="33" xfId="0" applyBorder="1" applyAlignment="1" applyProtection="1">
      <alignment wrapText="1"/>
    </xf>
    <xf numFmtId="0" fontId="0" fillId="0" borderId="34" xfId="0" applyBorder="1" applyAlignment="1" applyProtection="1">
      <alignment wrapText="1"/>
    </xf>
    <xf numFmtId="0" fontId="0" fillId="0" borderId="35" xfId="0" applyBorder="1" applyAlignment="1" applyProtection="1">
      <alignment wrapText="1"/>
    </xf>
    <xf numFmtId="44" fontId="0" fillId="0" borderId="10" xfId="1" applyNumberFormat="1" applyFont="1" applyFill="1" applyBorder="1" applyProtection="1"/>
    <xf numFmtId="44" fontId="0" fillId="0" borderId="10" xfId="1" applyNumberFormat="1" applyFont="1" applyBorder="1" applyProtection="1"/>
    <xf numFmtId="44" fontId="0" fillId="0" borderId="17" xfId="1" applyNumberFormat="1" applyFont="1" applyFill="1" applyBorder="1" applyProtection="1"/>
    <xf numFmtId="44" fontId="0" fillId="0" borderId="17" xfId="1" applyNumberFormat="1" applyFont="1" applyBorder="1" applyProtection="1"/>
    <xf numFmtId="44" fontId="0" fillId="0" borderId="18" xfId="1" applyNumberFormat="1" applyFont="1" applyBorder="1" applyProtection="1"/>
    <xf numFmtId="164" fontId="0" fillId="0" borderId="0" xfId="0" applyNumberFormat="1" applyProtection="1"/>
    <xf numFmtId="44" fontId="0" fillId="0" borderId="17" xfId="1" applyFont="1" applyFill="1" applyBorder="1" applyProtection="1"/>
    <xf numFmtId="44" fontId="0" fillId="0" borderId="17" xfId="1" applyFont="1" applyBorder="1" applyProtection="1"/>
    <xf numFmtId="44" fontId="0" fillId="0" borderId="18" xfId="1" applyFont="1" applyBorder="1" applyProtection="1"/>
    <xf numFmtId="0" fontId="0" fillId="3" borderId="0" xfId="0" applyFill="1" applyAlignment="1" applyProtection="1">
      <alignment horizontal="center"/>
      <protection locked="0"/>
    </xf>
    <xf numFmtId="0" fontId="0" fillId="0" borderId="26" xfId="0" applyBorder="1" applyAlignment="1" applyProtection="1">
      <alignment horizontal="center"/>
    </xf>
    <xf numFmtId="0" fontId="0" fillId="0" borderId="27" xfId="0" applyBorder="1" applyAlignment="1" applyProtection="1">
      <alignment horizontal="center"/>
    </xf>
    <xf numFmtId="0" fontId="0" fillId="0" borderId="28" xfId="0" applyBorder="1" applyAlignment="1" applyProtection="1">
      <alignment horizontal="center"/>
    </xf>
    <xf numFmtId="0" fontId="0" fillId="0" borderId="29" xfId="0" applyBorder="1" applyAlignment="1" applyProtection="1">
      <alignment horizontal="center"/>
    </xf>
    <xf numFmtId="0" fontId="0" fillId="0" borderId="0" xfId="0" applyBorder="1" applyAlignment="1" applyProtection="1">
      <alignment horizontal="center"/>
    </xf>
  </cellXfs>
  <cellStyles count="3">
    <cellStyle name="Comma" xfId="2" builtinId="3"/>
    <cellStyle name="Currency" xfId="1" builtinId="4"/>
    <cellStyle name="Normal" xfId="0" builtinId="0"/>
  </cellStyles>
  <dxfs count="297">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protection locked="0" hidden="0"/>
    </dxf>
    <dxf>
      <fill>
        <patternFill>
          <fgColor indexed="64"/>
          <bgColor theme="5" tint="0.79998168889431442"/>
        </patternFill>
      </fill>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1" hidden="0"/>
    </dxf>
    <dxf>
      <fill>
        <patternFill patternType="none">
          <fgColor indexed="64"/>
          <bgColor auto="1"/>
        </patternFill>
      </fill>
      <border diagonalUp="0" diagonalDown="0">
        <left style="medium">
          <color indexed="64"/>
        </left>
        <right style="medium">
          <color indexed="64"/>
        </right>
        <top style="thin">
          <color indexed="64"/>
        </top>
        <bottom style="thin">
          <color indexed="64"/>
        </bottom>
        <vertical/>
        <horizontal style="thin">
          <color indexed="64"/>
        </horizontal>
      </border>
      <protection locked="1" hidden="0"/>
    </dxf>
    <dxf>
      <border outline="0">
        <bottom style="medium">
          <color rgb="FF000000"/>
        </bottom>
      </border>
    </dxf>
    <dxf>
      <fill>
        <patternFill patternType="solid">
          <fgColor rgb="FF000000"/>
          <bgColor rgb="FFFCE4D6"/>
        </patternFill>
      </fill>
      <protection locked="1" hidden="0"/>
    </dxf>
    <dxf>
      <alignment horizontal="general" vertical="bottom" textRotation="0" wrapText="1" indent="0" justifyLastLine="0" shrinkToFit="0" readingOrder="0"/>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protection locked="0" hidden="0"/>
    </dxf>
    <dxf>
      <fill>
        <patternFill>
          <fgColor indexed="64"/>
          <bgColor theme="5" tint="0.79998168889431442"/>
        </patternFill>
      </fill>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1" hidden="0"/>
    </dxf>
    <dxf>
      <fill>
        <patternFill patternType="none">
          <fgColor indexed="64"/>
          <bgColor auto="1"/>
        </patternFill>
      </fill>
      <border diagonalUp="0" diagonalDown="0">
        <left style="medium">
          <color indexed="64"/>
        </left>
        <right style="medium">
          <color indexed="64"/>
        </right>
        <top style="thin">
          <color indexed="64"/>
        </top>
        <bottom style="thin">
          <color indexed="64"/>
        </bottom>
        <vertical/>
        <horizontal style="thin">
          <color indexed="64"/>
        </horizontal>
      </border>
      <protection locked="1" hidden="0"/>
    </dxf>
    <dxf>
      <border outline="0">
        <bottom style="medium">
          <color rgb="FF000000"/>
        </bottom>
      </border>
    </dxf>
    <dxf>
      <fill>
        <patternFill patternType="solid">
          <fgColor rgb="FF000000"/>
          <bgColor rgb="FFFCE4D6"/>
        </patternFill>
      </fill>
      <protection locked="1" hidden="0"/>
    </dxf>
    <dxf>
      <alignment horizontal="general" vertical="bottom" textRotation="0" wrapText="1" indent="0" justifyLastLine="0" shrinkToFit="0" readingOrder="0"/>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protection locked="0" hidden="0"/>
    </dxf>
    <dxf>
      <fill>
        <patternFill>
          <fgColor indexed="64"/>
          <bgColor theme="5" tint="0.79998168889431442"/>
        </patternFill>
      </fill>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1" hidden="0"/>
    </dxf>
    <dxf>
      <fill>
        <patternFill patternType="none">
          <fgColor indexed="64"/>
          <bgColor auto="1"/>
        </patternFill>
      </fill>
      <border diagonalUp="0" diagonalDown="0">
        <left style="medium">
          <color indexed="64"/>
        </left>
        <right style="medium">
          <color indexed="64"/>
        </right>
        <top style="thin">
          <color indexed="64"/>
        </top>
        <bottom style="thin">
          <color indexed="64"/>
        </bottom>
        <vertical/>
        <horizontal style="thin">
          <color indexed="64"/>
        </horizontal>
      </border>
      <protection locked="1" hidden="0"/>
    </dxf>
    <dxf>
      <border outline="0">
        <bottom style="medium">
          <color rgb="FF000000"/>
        </bottom>
      </border>
    </dxf>
    <dxf>
      <fill>
        <patternFill patternType="solid">
          <fgColor rgb="FF000000"/>
          <bgColor rgb="FFFCE4D6"/>
        </patternFill>
      </fill>
      <protection locked="1" hidden="0"/>
    </dxf>
    <dxf>
      <alignment horizontal="general" vertical="bottom" textRotation="0" wrapText="1" indent="0" justifyLastLine="0" shrinkToFit="0" readingOrder="0"/>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protection locked="0" hidden="0"/>
    </dxf>
    <dxf>
      <fill>
        <patternFill>
          <fgColor indexed="64"/>
          <bgColor theme="5" tint="0.79998168889431442"/>
        </patternFill>
      </fill>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1" hidden="0"/>
    </dxf>
    <dxf>
      <fill>
        <patternFill patternType="none">
          <fgColor indexed="64"/>
          <bgColor auto="1"/>
        </patternFill>
      </fill>
      <border diagonalUp="0" diagonalDown="0">
        <left style="medium">
          <color indexed="64"/>
        </left>
        <right style="medium">
          <color indexed="64"/>
        </right>
        <top style="thin">
          <color indexed="64"/>
        </top>
        <bottom style="thin">
          <color indexed="64"/>
        </bottom>
        <vertical/>
        <horizontal style="thin">
          <color indexed="64"/>
        </horizontal>
      </border>
      <protection locked="1" hidden="0"/>
    </dxf>
    <dxf>
      <border outline="0">
        <bottom style="medium">
          <color rgb="FF000000"/>
        </bottom>
      </border>
    </dxf>
    <dxf>
      <fill>
        <patternFill patternType="solid">
          <fgColor rgb="FF000000"/>
          <bgColor rgb="FFFCE4D6"/>
        </patternFill>
      </fill>
      <protection locked="1" hidden="0"/>
    </dxf>
    <dxf>
      <alignment horizontal="general" vertical="bottom" textRotation="0" wrapText="1" indent="0" justifyLastLine="0" shrinkToFit="0" readingOrder="0"/>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protection locked="0" hidden="0"/>
    </dxf>
    <dxf>
      <fill>
        <patternFill>
          <fgColor indexed="64"/>
          <bgColor theme="5" tint="0.79998168889431442"/>
        </patternFill>
      </fill>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1" hidden="0"/>
    </dxf>
    <dxf>
      <fill>
        <patternFill patternType="none">
          <fgColor indexed="64"/>
          <bgColor auto="1"/>
        </patternFill>
      </fill>
      <border diagonalUp="0" diagonalDown="0">
        <left style="medium">
          <color indexed="64"/>
        </left>
        <right style="medium">
          <color indexed="64"/>
        </right>
        <top style="thin">
          <color indexed="64"/>
        </top>
        <bottom style="thin">
          <color indexed="64"/>
        </bottom>
        <vertical/>
        <horizontal style="thin">
          <color indexed="64"/>
        </horizontal>
      </border>
      <protection locked="1" hidden="0"/>
    </dxf>
    <dxf>
      <border outline="0">
        <bottom style="medium">
          <color rgb="FF000000"/>
        </bottom>
      </border>
    </dxf>
    <dxf>
      <fill>
        <patternFill patternType="solid">
          <fgColor rgb="FF000000"/>
          <bgColor rgb="FFFCE4D6"/>
        </patternFill>
      </fill>
      <protection locked="1" hidden="0"/>
    </dxf>
    <dxf>
      <alignment horizontal="general" vertical="bottom" textRotation="0" wrapText="1" indent="0" justifyLastLine="0" shrinkToFit="0" readingOrder="0"/>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protection locked="0" hidden="0"/>
    </dxf>
    <dxf>
      <fill>
        <patternFill>
          <fgColor indexed="64"/>
          <bgColor theme="5" tint="0.79998168889431442"/>
        </patternFill>
      </fill>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1" hidden="0"/>
    </dxf>
    <dxf>
      <fill>
        <patternFill patternType="none">
          <fgColor indexed="64"/>
          <bgColor auto="1"/>
        </patternFill>
      </fill>
      <border diagonalUp="0" diagonalDown="0">
        <left style="medium">
          <color indexed="64"/>
        </left>
        <right style="medium">
          <color indexed="64"/>
        </right>
        <top style="thin">
          <color indexed="64"/>
        </top>
        <bottom style="thin">
          <color indexed="64"/>
        </bottom>
        <vertical/>
        <horizontal style="thin">
          <color indexed="64"/>
        </horizontal>
      </border>
      <protection locked="1" hidden="0"/>
    </dxf>
    <dxf>
      <border outline="0">
        <bottom style="medium">
          <color rgb="FF000000"/>
        </bottom>
      </border>
    </dxf>
    <dxf>
      <fill>
        <patternFill patternType="solid">
          <fgColor rgb="FF000000"/>
          <bgColor rgb="FFFCE4D6"/>
        </patternFill>
      </fill>
      <protection locked="1" hidden="0"/>
    </dxf>
    <dxf>
      <alignment horizontal="general" vertical="bottom" textRotation="0" wrapText="1" indent="0" justifyLastLine="0" shrinkToFit="0" readingOrder="0"/>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protection locked="0" hidden="0"/>
    </dxf>
    <dxf>
      <fill>
        <patternFill>
          <fgColor indexed="64"/>
          <bgColor theme="5" tint="0.79998168889431442"/>
        </patternFill>
      </fill>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1" hidden="0"/>
    </dxf>
    <dxf>
      <fill>
        <patternFill patternType="none">
          <fgColor indexed="64"/>
          <bgColor auto="1"/>
        </patternFill>
      </fill>
      <border diagonalUp="0" diagonalDown="0">
        <left style="medium">
          <color indexed="64"/>
        </left>
        <right style="medium">
          <color indexed="64"/>
        </right>
        <top style="thin">
          <color indexed="64"/>
        </top>
        <bottom style="thin">
          <color indexed="64"/>
        </bottom>
        <vertical/>
        <horizontal style="thin">
          <color indexed="64"/>
        </horizontal>
      </border>
      <protection locked="1" hidden="0"/>
    </dxf>
    <dxf>
      <border outline="0">
        <bottom style="medium">
          <color rgb="FF000000"/>
        </bottom>
      </border>
    </dxf>
    <dxf>
      <fill>
        <patternFill patternType="solid">
          <fgColor rgb="FF000000"/>
          <bgColor rgb="FFFCE4D6"/>
        </patternFill>
      </fill>
      <protection locked="1" hidden="0"/>
    </dxf>
    <dxf>
      <alignment horizontal="general" vertical="bottom" textRotation="0" wrapText="1" indent="0" justifyLastLine="0" shrinkToFit="0" readingOrder="0"/>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protection locked="0" hidden="0"/>
    </dxf>
    <dxf>
      <fill>
        <patternFill>
          <fgColor indexed="64"/>
          <bgColor theme="5" tint="0.79998168889431442"/>
        </patternFill>
      </fill>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none">
          <fgColor indexed="64"/>
          <bgColor auto="1"/>
        </patternFill>
      </fill>
      <border diagonalUp="0" diagonalDown="0">
        <left style="medium">
          <color indexed="64"/>
        </left>
        <right style="medium">
          <color indexed="64"/>
        </right>
        <top style="thin">
          <color indexed="64"/>
        </top>
        <bottom style="thin">
          <color indexed="64"/>
        </bottom>
        <vertical/>
        <horizontal style="thin">
          <color indexed="64"/>
        </horizontal>
      </border>
      <protection locked="1" hidden="0"/>
    </dxf>
    <dxf>
      <border outline="0">
        <bottom style="medium">
          <color rgb="FF000000"/>
        </bottom>
      </border>
    </dxf>
    <dxf>
      <fill>
        <patternFill patternType="solid">
          <fgColor rgb="FF000000"/>
          <bgColor rgb="FFFCE4D6"/>
        </patternFill>
      </fill>
      <protection locked="1" hidden="0"/>
    </dxf>
    <dxf>
      <alignment horizontal="general" vertical="bottom" textRotation="0" wrapText="1" indent="0" justifyLastLine="0" shrinkToFit="0" readingOrder="0"/>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protection locked="0" hidden="0"/>
    </dxf>
    <dxf>
      <fill>
        <patternFill>
          <fgColor indexed="64"/>
          <bgColor theme="5" tint="0.79998168889431442"/>
        </patternFill>
      </fill>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1" hidden="0"/>
    </dxf>
    <dxf>
      <fill>
        <patternFill patternType="none">
          <fgColor indexed="64"/>
          <bgColor auto="1"/>
        </patternFill>
      </fill>
      <border diagonalUp="0" diagonalDown="0">
        <left style="medium">
          <color indexed="64"/>
        </left>
        <right style="medium">
          <color indexed="64"/>
        </right>
        <top style="thin">
          <color indexed="64"/>
        </top>
        <bottom style="thin">
          <color indexed="64"/>
        </bottom>
        <vertical/>
        <horizontal style="thin">
          <color indexed="64"/>
        </horizontal>
      </border>
      <protection locked="1" hidden="0"/>
    </dxf>
    <dxf>
      <border outline="0">
        <bottom style="medium">
          <color rgb="FF000000"/>
        </bottom>
      </border>
    </dxf>
    <dxf>
      <fill>
        <patternFill patternType="solid">
          <fgColor rgb="FF000000"/>
          <bgColor rgb="FFFCE4D6"/>
        </patternFill>
      </fill>
      <protection locked="1" hidden="0"/>
    </dxf>
    <dxf>
      <alignment horizontal="general" vertical="bottom" textRotation="0" wrapText="1" indent="0" justifyLastLine="0" shrinkToFit="0" readingOrder="0"/>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protection locked="0" hidden="0"/>
    </dxf>
    <dxf>
      <numFmt numFmtId="164" formatCode="_(* #,##0_);_(* \(#,##0\);_(* &quot;-&quot;??_);_(@_)"/>
      <border diagonalUp="0" diagonalDown="0">
        <left style="thin">
          <color indexed="64"/>
        </left>
        <right style="thin">
          <color indexed="64"/>
        </right>
        <top style="thin">
          <color indexed="64"/>
        </top>
        <bottom style="thin">
          <color indexed="64"/>
        </bottom>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protection locked="0" hidden="0"/>
    </dxf>
    <dxf>
      <fill>
        <patternFill>
          <fgColor indexed="64"/>
          <bgColor theme="5" tint="0.79998168889431442"/>
        </patternFill>
      </fill>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1" hidden="0"/>
    </dxf>
    <dxf>
      <fill>
        <patternFill patternType="none">
          <fgColor indexed="64"/>
          <bgColor auto="1"/>
        </patternFill>
      </fill>
      <border diagonalUp="0" diagonalDown="0">
        <left style="medium">
          <color indexed="64"/>
        </left>
        <right style="medium">
          <color indexed="64"/>
        </right>
        <top style="thin">
          <color indexed="64"/>
        </top>
        <bottom style="thin">
          <color indexed="64"/>
        </bottom>
        <vertical/>
        <horizontal style="thin">
          <color indexed="64"/>
        </horizontal>
      </border>
      <protection locked="1" hidden="0"/>
    </dxf>
    <dxf>
      <border outline="0">
        <bottom style="medium">
          <color rgb="FF000000"/>
        </bottom>
      </border>
    </dxf>
    <dxf>
      <fill>
        <patternFill patternType="solid">
          <fgColor rgb="FF000000"/>
          <bgColor rgb="FFFCE4D6"/>
        </patternFill>
      </fill>
      <protection locked="1" hidden="0"/>
    </dxf>
    <dxf>
      <alignment horizontal="general" vertical="bottom" textRotation="0" wrapText="1" indent="0" justifyLastLine="0" shrinkToFit="0" readingOrder="0"/>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34" formatCode="_(&quot;$&quot;* #,##0.00_);_(&quot;$&quot;* \(#,##0.00\);_(&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protection locked="0" hidden="0"/>
    </dxf>
    <dxf>
      <numFmt numFmtId="164" formatCode="_(* #,##0_);_(* \(#,##0\);_(* &quot;-&quot;??_);_(@_)"/>
      <border diagonalUp="0" diagonalDown="0">
        <left style="thin">
          <color indexed="64"/>
        </left>
        <right style="thin">
          <color indexed="64"/>
        </right>
        <top style="thin">
          <color indexed="64"/>
        </top>
        <bottom style="thin">
          <color indexed="64"/>
        </bottom>
      </border>
      <protection locked="1"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border>
      <protection locked="0" hidden="0"/>
    </dxf>
    <dxf>
      <fill>
        <patternFill>
          <fgColor indexed="64"/>
          <bgColor theme="5" tint="0.79998168889431442"/>
        </patternFill>
      </fill>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1" hidden="0"/>
    </dxf>
    <dxf>
      <fill>
        <patternFill patternType="none">
          <fgColor indexed="64"/>
          <bgColor auto="1"/>
        </patternFill>
      </fill>
      <border diagonalUp="0" diagonalDown="0">
        <left style="medium">
          <color indexed="64"/>
        </left>
        <right style="medium">
          <color indexed="64"/>
        </right>
        <top style="thin">
          <color indexed="64"/>
        </top>
        <bottom style="thin">
          <color indexed="64"/>
        </bottom>
        <vertical/>
        <horizontal style="thin">
          <color indexed="64"/>
        </horizontal>
      </border>
      <protection locked="1" hidden="0"/>
    </dxf>
    <dxf>
      <border outline="0">
        <bottom style="medium">
          <color rgb="FF000000"/>
        </bottom>
      </border>
    </dxf>
    <dxf>
      <fill>
        <patternFill patternType="solid">
          <fgColor rgb="FF000000"/>
          <bgColor rgb="FFFCE4D6"/>
        </patternFill>
      </fill>
      <protection locked="1" hidden="0"/>
    </dxf>
    <dxf>
      <alignment horizontal="general" vertical="bottom" textRotation="0" wrapText="1"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hite, Sarah [IDOE]" refreshedDate="43644.485392361108" createdVersion="5" refreshedVersion="5" minRefreshableVersion="3" recordCount="32" xr:uid="{00000000-000A-0000-FFFF-FFFF01000000}">
  <cacheSource type="worksheet">
    <worksheetSource name="Table1"/>
  </cacheSource>
  <cacheFields count="15">
    <cacheField name="Category" numFmtId="0">
      <sharedItems count="1">
        <s v="Cheese Bulk"/>
      </sharedItems>
    </cacheField>
    <cacheField name="Product Spec #" numFmtId="0">
      <sharedItems count="4">
        <s v="3c1"/>
        <s v="3c2"/>
        <s v="3c3"/>
        <s v="3c4"/>
      </sharedItems>
    </cacheField>
    <cacheField name="Manufacturer" numFmtId="0">
      <sharedItems count="3">
        <s v="Bongard's Creameries"/>
        <s v="Land o Lakes"/>
        <s v="Other:"/>
      </sharedItems>
    </cacheField>
    <cacheField name="Product Description" numFmtId="0">
      <sharedItems containsNonDate="0" containsString="0" containsBlank="1"/>
    </cacheField>
    <cacheField name="Manufacturer Product Code" numFmtId="0">
      <sharedItems containsNonDate="0" containsString="0" containsBlank="1"/>
    </cacheField>
    <cacheField name="Vendor Pack" numFmtId="0">
      <sharedItems containsNonDate="0" containsString="0" containsBlank="1"/>
    </cacheField>
    <cacheField name="# of CN Servings per case" numFmtId="0">
      <sharedItems containsNonDate="0" containsString="0" containsBlank="1"/>
    </cacheField>
    <cacheField name="Estimated Servings Annual" numFmtId="0">
      <sharedItems containsSemiMixedTypes="0" containsString="0" containsNumber="1" containsInteger="1" minValue="2000" maxValue="4800"/>
    </cacheField>
    <cacheField name="USDA Material Code" numFmtId="0">
      <sharedItems containsNonDate="0" containsString="0" containsBlank="1"/>
    </cacheField>
    <cacheField name="Pounds of DF Needed per Case" numFmtId="0">
      <sharedItems containsNonDate="0" containsString="0" containsBlank="1"/>
    </cacheField>
    <cacheField name="Donated Food Value per case" numFmtId="0">
      <sharedItems containsNonDate="0" containsString="0" containsBlank="1"/>
    </cacheField>
    <cacheField name="NOI Commercial Bid Price per case" numFmtId="0">
      <sharedItems containsNonDate="0" containsString="0" containsBlank="1"/>
    </cacheField>
    <cacheField name="Delivery Fee per Case" numFmtId="0">
      <sharedItems containsNonDate="0" containsString="0" containsBlank="1"/>
    </cacheField>
    <cacheField name="Total Cost Per Serving ((j+k+l)/f)" numFmtId="0">
      <sharedItems/>
    </cacheField>
    <cacheField name="Total Cost Per Year (M*G)"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2">
  <r>
    <x v="0"/>
    <x v="0"/>
    <x v="0"/>
    <m/>
    <m/>
    <m/>
    <m/>
    <n v="4600"/>
    <m/>
    <m/>
    <m/>
    <m/>
    <m/>
    <e v="#DIV/0!"/>
    <e v="#DIV/0!"/>
  </r>
  <r>
    <x v="0"/>
    <x v="0"/>
    <x v="0"/>
    <m/>
    <m/>
    <m/>
    <m/>
    <n v="4600"/>
    <m/>
    <m/>
    <m/>
    <m/>
    <m/>
    <e v="#DIV/0!"/>
    <e v="#DIV/0!"/>
  </r>
  <r>
    <x v="0"/>
    <x v="0"/>
    <x v="1"/>
    <m/>
    <m/>
    <m/>
    <m/>
    <n v="4600"/>
    <m/>
    <m/>
    <m/>
    <m/>
    <m/>
    <e v="#DIV/0!"/>
    <e v="#DIV/0!"/>
  </r>
  <r>
    <x v="0"/>
    <x v="0"/>
    <x v="1"/>
    <m/>
    <m/>
    <m/>
    <m/>
    <n v="4600"/>
    <m/>
    <m/>
    <m/>
    <m/>
    <m/>
    <e v="#DIV/0!"/>
    <e v="#DIV/0!"/>
  </r>
  <r>
    <x v="0"/>
    <x v="0"/>
    <x v="2"/>
    <m/>
    <m/>
    <m/>
    <m/>
    <n v="4600"/>
    <m/>
    <m/>
    <m/>
    <m/>
    <m/>
    <e v="#DIV/0!"/>
    <e v="#DIV/0!"/>
  </r>
  <r>
    <x v="0"/>
    <x v="0"/>
    <x v="2"/>
    <m/>
    <m/>
    <m/>
    <m/>
    <n v="4600"/>
    <m/>
    <m/>
    <m/>
    <m/>
    <m/>
    <e v="#DIV/0!"/>
    <e v="#DIV/0!"/>
  </r>
  <r>
    <x v="0"/>
    <x v="0"/>
    <x v="2"/>
    <m/>
    <m/>
    <m/>
    <m/>
    <n v="4600"/>
    <m/>
    <m/>
    <m/>
    <m/>
    <m/>
    <e v="#DIV/0!"/>
    <e v="#DIV/0!"/>
  </r>
  <r>
    <x v="0"/>
    <x v="0"/>
    <x v="2"/>
    <m/>
    <m/>
    <m/>
    <m/>
    <n v="4600"/>
    <m/>
    <m/>
    <m/>
    <m/>
    <m/>
    <e v="#DIV/0!"/>
    <e v="#DIV/0!"/>
  </r>
  <r>
    <x v="0"/>
    <x v="1"/>
    <x v="0"/>
    <m/>
    <m/>
    <m/>
    <m/>
    <n v="4100"/>
    <m/>
    <m/>
    <m/>
    <m/>
    <m/>
    <e v="#DIV/0!"/>
    <e v="#DIV/0!"/>
  </r>
  <r>
    <x v="0"/>
    <x v="1"/>
    <x v="0"/>
    <m/>
    <m/>
    <m/>
    <m/>
    <n v="4100"/>
    <m/>
    <m/>
    <m/>
    <m/>
    <m/>
    <e v="#DIV/0!"/>
    <e v="#DIV/0!"/>
  </r>
  <r>
    <x v="0"/>
    <x v="1"/>
    <x v="1"/>
    <m/>
    <m/>
    <m/>
    <m/>
    <n v="4100"/>
    <m/>
    <m/>
    <m/>
    <m/>
    <m/>
    <e v="#DIV/0!"/>
    <e v="#DIV/0!"/>
  </r>
  <r>
    <x v="0"/>
    <x v="1"/>
    <x v="1"/>
    <m/>
    <m/>
    <m/>
    <m/>
    <n v="4100"/>
    <m/>
    <m/>
    <m/>
    <m/>
    <m/>
    <e v="#DIV/0!"/>
    <e v="#DIV/0!"/>
  </r>
  <r>
    <x v="0"/>
    <x v="1"/>
    <x v="2"/>
    <m/>
    <m/>
    <m/>
    <m/>
    <n v="4100"/>
    <m/>
    <m/>
    <m/>
    <m/>
    <m/>
    <e v="#DIV/0!"/>
    <e v="#DIV/0!"/>
  </r>
  <r>
    <x v="0"/>
    <x v="1"/>
    <x v="2"/>
    <m/>
    <m/>
    <m/>
    <m/>
    <n v="4100"/>
    <m/>
    <m/>
    <m/>
    <m/>
    <m/>
    <e v="#DIV/0!"/>
    <e v="#DIV/0!"/>
  </r>
  <r>
    <x v="0"/>
    <x v="1"/>
    <x v="2"/>
    <m/>
    <m/>
    <m/>
    <m/>
    <n v="4100"/>
    <m/>
    <m/>
    <m/>
    <m/>
    <m/>
    <e v="#DIV/0!"/>
    <e v="#DIV/0!"/>
  </r>
  <r>
    <x v="0"/>
    <x v="1"/>
    <x v="2"/>
    <m/>
    <m/>
    <m/>
    <m/>
    <n v="4100"/>
    <m/>
    <m/>
    <m/>
    <m/>
    <m/>
    <e v="#DIV/0!"/>
    <e v="#DIV/0!"/>
  </r>
  <r>
    <x v="0"/>
    <x v="2"/>
    <x v="0"/>
    <m/>
    <m/>
    <m/>
    <m/>
    <n v="2000"/>
    <m/>
    <m/>
    <m/>
    <m/>
    <m/>
    <e v="#DIV/0!"/>
    <e v="#DIV/0!"/>
  </r>
  <r>
    <x v="0"/>
    <x v="2"/>
    <x v="0"/>
    <m/>
    <m/>
    <m/>
    <m/>
    <n v="2000"/>
    <m/>
    <m/>
    <m/>
    <m/>
    <m/>
    <e v="#DIV/0!"/>
    <e v="#DIV/0!"/>
  </r>
  <r>
    <x v="0"/>
    <x v="2"/>
    <x v="1"/>
    <m/>
    <m/>
    <m/>
    <m/>
    <n v="2000"/>
    <m/>
    <m/>
    <m/>
    <m/>
    <m/>
    <e v="#DIV/0!"/>
    <e v="#DIV/0!"/>
  </r>
  <r>
    <x v="0"/>
    <x v="2"/>
    <x v="1"/>
    <m/>
    <m/>
    <m/>
    <m/>
    <n v="2000"/>
    <m/>
    <m/>
    <m/>
    <m/>
    <m/>
    <e v="#DIV/0!"/>
    <e v="#DIV/0!"/>
  </r>
  <r>
    <x v="0"/>
    <x v="2"/>
    <x v="2"/>
    <m/>
    <m/>
    <m/>
    <m/>
    <n v="2000"/>
    <m/>
    <m/>
    <m/>
    <m/>
    <m/>
    <e v="#DIV/0!"/>
    <e v="#DIV/0!"/>
  </r>
  <r>
    <x v="0"/>
    <x v="2"/>
    <x v="2"/>
    <m/>
    <m/>
    <m/>
    <m/>
    <n v="2000"/>
    <m/>
    <m/>
    <m/>
    <m/>
    <m/>
    <e v="#DIV/0!"/>
    <e v="#DIV/0!"/>
  </r>
  <r>
    <x v="0"/>
    <x v="2"/>
    <x v="2"/>
    <m/>
    <m/>
    <m/>
    <m/>
    <n v="2000"/>
    <m/>
    <m/>
    <m/>
    <m/>
    <m/>
    <e v="#DIV/0!"/>
    <e v="#DIV/0!"/>
  </r>
  <r>
    <x v="0"/>
    <x v="2"/>
    <x v="2"/>
    <m/>
    <m/>
    <m/>
    <m/>
    <n v="2000"/>
    <m/>
    <m/>
    <m/>
    <m/>
    <m/>
    <e v="#DIV/0!"/>
    <e v="#DIV/0!"/>
  </r>
  <r>
    <x v="0"/>
    <x v="3"/>
    <x v="0"/>
    <m/>
    <m/>
    <m/>
    <m/>
    <n v="4800"/>
    <m/>
    <m/>
    <m/>
    <m/>
    <m/>
    <e v="#DIV/0!"/>
    <e v="#DIV/0!"/>
  </r>
  <r>
    <x v="0"/>
    <x v="3"/>
    <x v="0"/>
    <m/>
    <m/>
    <m/>
    <m/>
    <n v="4800"/>
    <m/>
    <m/>
    <m/>
    <m/>
    <m/>
    <e v="#DIV/0!"/>
    <e v="#DIV/0!"/>
  </r>
  <r>
    <x v="0"/>
    <x v="3"/>
    <x v="1"/>
    <m/>
    <m/>
    <m/>
    <m/>
    <n v="4800"/>
    <m/>
    <m/>
    <m/>
    <m/>
    <m/>
    <e v="#DIV/0!"/>
    <e v="#DIV/0!"/>
  </r>
  <r>
    <x v="0"/>
    <x v="3"/>
    <x v="1"/>
    <m/>
    <m/>
    <m/>
    <m/>
    <n v="4800"/>
    <m/>
    <m/>
    <m/>
    <m/>
    <m/>
    <e v="#DIV/0!"/>
    <e v="#DIV/0!"/>
  </r>
  <r>
    <x v="0"/>
    <x v="3"/>
    <x v="2"/>
    <m/>
    <m/>
    <m/>
    <m/>
    <n v="4800"/>
    <m/>
    <m/>
    <m/>
    <m/>
    <m/>
    <e v="#DIV/0!"/>
    <e v="#DIV/0!"/>
  </r>
  <r>
    <x v="0"/>
    <x v="3"/>
    <x v="2"/>
    <m/>
    <m/>
    <m/>
    <m/>
    <n v="4800"/>
    <m/>
    <m/>
    <m/>
    <m/>
    <m/>
    <e v="#DIV/0!"/>
    <e v="#DIV/0!"/>
  </r>
  <r>
    <x v="0"/>
    <x v="3"/>
    <x v="2"/>
    <m/>
    <m/>
    <m/>
    <m/>
    <n v="4800"/>
    <m/>
    <m/>
    <m/>
    <m/>
    <m/>
    <e v="#DIV/0!"/>
    <e v="#DIV/0!"/>
  </r>
  <r>
    <x v="0"/>
    <x v="3"/>
    <x v="2"/>
    <m/>
    <m/>
    <m/>
    <m/>
    <n v="4800"/>
    <m/>
    <m/>
    <m/>
    <m/>
    <m/>
    <e v="#DIV/0!"/>
    <e v="#DI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D00-000000000000}"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B21" firstHeaderRow="1" firstDataRow="1" firstDataCol="1"/>
  <pivotFields count="15">
    <pivotField axis="axisRow" showAll="0">
      <items count="2">
        <item x="0"/>
        <item t="default"/>
      </items>
    </pivotField>
    <pivotField axis="axisRow" showAll="0">
      <items count="5">
        <item x="0"/>
        <item x="1"/>
        <item x="2"/>
        <item x="3"/>
        <item t="default"/>
      </items>
    </pivotField>
    <pivotField axis="axisRow" showAll="0">
      <items count="4">
        <item x="0"/>
        <item x="1"/>
        <item x="2"/>
        <item t="default"/>
      </items>
    </pivotField>
    <pivotField showAll="0"/>
    <pivotField showAll="0"/>
    <pivotField showAll="0"/>
    <pivotField showAll="0"/>
    <pivotField showAll="0"/>
    <pivotField showAll="0"/>
    <pivotField showAll="0"/>
    <pivotField showAll="0"/>
    <pivotField showAll="0"/>
    <pivotField showAll="0"/>
    <pivotField showAll="0"/>
    <pivotField dataField="1" showAll="0"/>
  </pivotFields>
  <rowFields count="3">
    <field x="0"/>
    <field x="1"/>
    <field x="2"/>
  </rowFields>
  <rowItems count="18">
    <i>
      <x/>
    </i>
    <i r="1">
      <x/>
    </i>
    <i r="2">
      <x/>
    </i>
    <i r="2">
      <x v="1"/>
    </i>
    <i r="2">
      <x v="2"/>
    </i>
    <i r="1">
      <x v="1"/>
    </i>
    <i r="2">
      <x/>
    </i>
    <i r="2">
      <x v="1"/>
    </i>
    <i r="2">
      <x v="2"/>
    </i>
    <i r="1">
      <x v="2"/>
    </i>
    <i r="2">
      <x/>
    </i>
    <i r="2">
      <x v="1"/>
    </i>
    <i r="2">
      <x v="2"/>
    </i>
    <i r="1">
      <x v="3"/>
    </i>
    <i r="2">
      <x/>
    </i>
    <i r="2">
      <x v="1"/>
    </i>
    <i r="2">
      <x v="2"/>
    </i>
    <i t="grand">
      <x/>
    </i>
  </rowItems>
  <colItems count="1">
    <i/>
  </colItems>
  <dataFields count="1">
    <dataField name="Sum of Total Cost Per Year (M*G)" fld="1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14" displayName="Table14" ref="A2:X66" totalsRowShown="0" headerRowDxfId="296" dataDxfId="295" tableBorderDxfId="294">
  <autoFilter ref="A2:X66" xr:uid="{00000000-0009-0000-0100-000003000000}"/>
  <tableColumns count="24">
    <tableColumn id="15" xr3:uid="{00000000-0010-0000-0000-00000F000000}" name="Category" dataDxfId="293"/>
    <tableColumn id="1" xr3:uid="{00000000-0010-0000-0000-000001000000}" name="Product Spec #" dataDxfId="292"/>
    <tableColumn id="2" xr3:uid="{00000000-0010-0000-0000-000002000000}" name="Manufacturer (max 2 per manufactuerer)" dataDxfId="291"/>
    <tableColumn id="19" xr3:uid="{00000000-0010-0000-0000-000013000000}" name="Is product available through the NOI VPT Method? (Y/N)" dataDxfId="290"/>
    <tableColumn id="24" xr3:uid="{19747FF6-2F37-4FF7-9D85-DD85F6669B5D}" name="Does the product meet the written nutritional specifications in Attachment #? (Y/N)" dataDxfId="289"/>
    <tableColumn id="3" xr3:uid="{00000000-0010-0000-0000-000003000000}" name="Product Description" dataDxfId="288"/>
    <tableColumn id="17" xr3:uid="{00000000-0010-0000-0000-000011000000}" name="Manufacturer Product Code" dataDxfId="287"/>
    <tableColumn id="4" xr3:uid="{00000000-0010-0000-0000-000004000000}" name="Distributor Product Code" dataDxfId="286"/>
    <tableColumn id="5" xr3:uid="{00000000-0010-0000-0000-000005000000}" name="Vendor Pack" dataDxfId="285"/>
    <tableColumn id="6" xr3:uid="{00000000-0010-0000-0000-000006000000}" name="# of CN Servings per case" dataDxfId="284"/>
    <tableColumn id="7" xr3:uid="{00000000-0010-0000-0000-000007000000}" name="Estimated Servings Annual" dataDxfId="283" dataCellStyle="Comma"/>
    <tableColumn id="8" xr3:uid="{00000000-0010-0000-0000-000008000000}" name="USDA Material Code" dataDxfId="282"/>
    <tableColumn id="9" xr3:uid="{00000000-0010-0000-0000-000009000000}" name="Pounds of DF Needed per Case (#)" dataDxfId="281"/>
    <tableColumn id="10" xr3:uid="{00000000-0010-0000-0000-00000A000000}" name="Pass-Thru Value per case ($)" dataDxfId="280"/>
    <tableColumn id="11" xr3:uid="{00000000-0010-0000-0000-00000B000000}" name="Commercial Bid Price per case for NOI ($)" dataDxfId="279"/>
    <tableColumn id="20" xr3:uid="{00000000-0010-0000-0000-000014000000}" name="Region 1: Fixed Fee Per Case ($)" dataDxfId="278"/>
    <tableColumn id="12" xr3:uid="{00000000-0010-0000-0000-00000C000000}" name="Region 2: Fixed Fee Per Case ($)" dataDxfId="277"/>
    <tableColumn id="16" xr3:uid="{00000000-0010-0000-0000-000010000000}" name="Special Order Item? (Y/N)" dataDxfId="276"/>
    <tableColumn id="18" xr3:uid="{00000000-0010-0000-0000-000012000000}" name="NOI Net Cost Per Case (O-N)+P" dataDxfId="275" dataCellStyle="Currency">
      <calculatedColumnFormula>(Table14[[#This Row],[Commercial Bid Price per case for NOI ($)]]-Table14[[#This Row],[Pass-Thru Value per case ($)]])+Table14[[#This Row],[Region 1: Fixed Fee Per Case ($)]]</calculatedColumnFormula>
    </tableColumn>
    <tableColumn id="13" xr3:uid="{00000000-0010-0000-0000-00000D000000}" name="Total Cost Per Serving (O+P)/J" dataDxfId="274" dataCellStyle="Currency">
      <calculatedColumnFormula>(Table14[[#This Row],[Commercial Bid Price per case for NOI ($)]]+Table14[[#This Row],[Region 1: Fixed Fee Per Case ($)]])/Table14[[#This Row],['# of CN Servings per case]]</calculatedColumnFormula>
    </tableColumn>
    <tableColumn id="14" xr3:uid="{00000000-0010-0000-0000-00000E000000}" name="Total Cost Per Year (T*K)" dataDxfId="273" dataCellStyle="Currency">
      <calculatedColumnFormula>Table14[[#This Row],[Total Cost Per Serving (O+P)/J]]*Table14[[#This Row],[Estimated Servings Annual]]</calculatedColumnFormula>
    </tableColumn>
    <tableColumn id="21" xr3:uid="{00000000-0010-0000-0000-000015000000}" name="NOI Net Cost Per Case (O-N)+Q" dataDxfId="272" dataCellStyle="Currency">
      <calculatedColumnFormula>(Table14[[#This Row],[Commercial Bid Price per case for NOI ($)]]-Table14[[#This Row],[Pass-Thru Value per case ($)]])+Table14[[#This Row],[Region 2: Fixed Fee Per Case ($)]]</calculatedColumnFormula>
    </tableColumn>
    <tableColumn id="22" xr3:uid="{00000000-0010-0000-0000-000016000000}" name="Total Cost Per Serving (O+Q)/J" dataDxfId="271" dataCellStyle="Currency">
      <calculatedColumnFormula>(Table14[[#This Row],[Commercial Bid Price per case for NOI ($)]]+Table14[[#This Row],[Region 2: Fixed Fee Per Case ($)]])/Table14[[#This Row],['# of CN Servings per case]]</calculatedColumnFormula>
    </tableColumn>
    <tableColumn id="23" xr3:uid="{00000000-0010-0000-0000-000017000000}" name="Total Cost Per Year (W*K)" dataDxfId="270" dataCellStyle="Currency">
      <calculatedColumnFormula>Table14[[#This Row],[Total Cost Per Serving (O+Q)/J]]*Table14[[#This Row],[Estimated Servings Annual]]</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830867E-59A7-47AF-9544-ED86DB26FDF1}" name="Table143812" displayName="Table143812" ref="A2:X66" totalsRowShown="0" headerRowDxfId="53" dataDxfId="52" tableBorderDxfId="51">
  <autoFilter ref="A2:X66" xr:uid="{00000000-0009-0000-0100-000003000000}"/>
  <tableColumns count="24">
    <tableColumn id="15" xr3:uid="{86FC69F4-4D8A-405B-9239-EEF22E57B7AB}" name="Category" dataDxfId="50"/>
    <tableColumn id="1" xr3:uid="{ACBD9752-BD32-415C-AC47-E14CD0BCC61F}" name="Product Spec #" dataDxfId="49"/>
    <tableColumn id="2" xr3:uid="{1DC6E0F0-01DD-4A88-8BAB-EDFC50CB1B80}" name="Manufacturer (max 2 per manufactuerer)" dataDxfId="48"/>
    <tableColumn id="19" xr3:uid="{5BEE48D3-D13A-4CCF-AD93-91DF0CB5B558}" name="Is product available through the NOI VPT Method? (Y/N)" dataDxfId="47"/>
    <tableColumn id="24" xr3:uid="{2C925AA0-6B8A-4584-9967-DA85E06EAAA4}" name="Does the product meet the written nutritional specifications in Attachment #? (Y/N)" dataDxfId="46"/>
    <tableColumn id="3" xr3:uid="{AA8C81D9-FB2E-4021-9B93-5BB1006BC147}" name="Product Description" dataDxfId="45"/>
    <tableColumn id="17" xr3:uid="{C801E4B4-F64D-494F-98B1-4346963F2FBE}" name="Manufacturer Product Code" dataDxfId="44"/>
    <tableColumn id="4" xr3:uid="{4941B7DB-5C39-485A-9275-ED0A3A0BC5A3}" name="Distributor Product Code" dataDxfId="43"/>
    <tableColumn id="5" xr3:uid="{AE933DA7-BF0D-4A5F-ADDF-ED16C9EE428C}" name="Vendor Pack" dataDxfId="42"/>
    <tableColumn id="6" xr3:uid="{17454D78-11CB-48D2-92BB-9D7D951AF63A}" name="# of CN Servings per case" dataDxfId="41"/>
    <tableColumn id="7" xr3:uid="{F02E03A3-5036-43C9-8062-3AB05E4BC03D}" name="Estimated Servings Annual" dataDxfId="40" dataCellStyle="Comma"/>
    <tableColumn id="8" xr3:uid="{EA8D63AB-A36D-4B19-8522-0645B3D47C17}" name="USDA Material Code" dataDxfId="39"/>
    <tableColumn id="9" xr3:uid="{7CE45C77-DC1C-40DF-B6D3-3AAA799EADC8}" name="Pounds of DF Needed per Case (#)" dataDxfId="38"/>
    <tableColumn id="10" xr3:uid="{C34C6CD5-44AD-4050-8528-BD97EFB03D13}" name="Pass-Thru Value per case ($)" dataDxfId="37"/>
    <tableColumn id="11" xr3:uid="{A91E1C92-A15C-4CD4-8AEB-52598B4CC23D}" name="Commercial Bid Price per case for NOI ($)" dataDxfId="36"/>
    <tableColumn id="20" xr3:uid="{803769AB-4CE3-4E25-A347-875F61FEA682}" name="Region 1: Fixed Fee Per Case ($)" dataDxfId="35"/>
    <tableColumn id="12" xr3:uid="{C395F744-3D6E-4904-8D94-0F6B438E70B9}" name="Region 2: Fixed Fee Per Case ($)" dataDxfId="34"/>
    <tableColumn id="16" xr3:uid="{DDBAA29B-9C3F-4530-9C68-72A1180002CB}" name="Special Order Item? (Y/N)" dataDxfId="33"/>
    <tableColumn id="18" xr3:uid="{CF1F9381-A425-420F-8601-2E42413E7376}" name="NOI Net Cost Per Case (O-N)+P" dataDxfId="32" dataCellStyle="Currency">
      <calculatedColumnFormula>(Table143812[[#This Row],[Commercial Bid Price per case for NOI ($)]]-Table143812[[#This Row],[Pass-Thru Value per case ($)]])+Table143812[[#This Row],[Region 1: Fixed Fee Per Case ($)]]</calculatedColumnFormula>
    </tableColumn>
    <tableColumn id="13" xr3:uid="{C419C521-D177-426D-A823-1EEDE6EE0A01}" name="Total Cost Per Serving (O+P)/J" dataDxfId="31" dataCellStyle="Currency">
      <calculatedColumnFormula>(Table143812[[#This Row],[Commercial Bid Price per case for NOI ($)]]+Table143812[[#This Row],[Region 1: Fixed Fee Per Case ($)]])/Table143812[[#This Row],['# of CN Servings per case]]</calculatedColumnFormula>
    </tableColumn>
    <tableColumn id="14" xr3:uid="{31C2CE20-5422-4ADD-AF5B-16466875BC0F}" name="Total Cost Per Year (T*K)" dataDxfId="30" dataCellStyle="Currency">
      <calculatedColumnFormula>Table143812[[#This Row],[Total Cost Per Serving (O+P)/J]]*Table143812[[#This Row],[Estimated Servings Annual]]</calculatedColumnFormula>
    </tableColumn>
    <tableColumn id="21" xr3:uid="{65DE7561-4A35-4D93-A46A-6096240C667A}" name="NOI Net Cost Per Case (O-N)+Q" dataDxfId="29" dataCellStyle="Currency">
      <calculatedColumnFormula>(Table143812[[#This Row],[Commercial Bid Price per case for NOI ($)]]-Table143812[[#This Row],[Pass-Thru Value per case ($)]])+Table143812[[#This Row],[Region 2: Fixed Fee Per Case ($)]]</calculatedColumnFormula>
    </tableColumn>
    <tableColumn id="22" xr3:uid="{07AC199B-DDEE-46C1-9CE8-4B12AE413F7D}" name="Total Cost Per Serving (O+Q)/J" dataDxfId="28" dataCellStyle="Currency">
      <calculatedColumnFormula>(Table143812[[#This Row],[Commercial Bid Price per case for NOI ($)]]+Table143812[[#This Row],[Region 2: Fixed Fee Per Case ($)]])/Table143812[[#This Row],['# of CN Servings per case]]</calculatedColumnFormula>
    </tableColumn>
    <tableColumn id="23" xr3:uid="{23DADDD9-56D1-40DF-99C7-846540DB936D}" name="Total Cost Per Year (W*K)" dataDxfId="27" dataCellStyle="Currency">
      <calculatedColumnFormula>Table143812[[#This Row],[Total Cost Per Serving (O+Q)/J]]*Table143812[[#This Row],[Estimated Servings Annual]]</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3E6385A-E1B7-4292-BEBA-17C5D3AC269C}" name="Table143891011" displayName="Table143891011" ref="A2:X66" totalsRowShown="0" headerRowDxfId="26" dataDxfId="25" tableBorderDxfId="24">
  <autoFilter ref="A2:X66" xr:uid="{00000000-0009-0000-0100-000003000000}"/>
  <tableColumns count="24">
    <tableColumn id="15" xr3:uid="{8D5F8E54-102B-447F-AC35-A0A029AF7C7A}" name="Category" dataDxfId="23"/>
    <tableColumn id="1" xr3:uid="{DBA0948A-529E-4924-ADBA-265992234E43}" name="Product Spec #" dataDxfId="22"/>
    <tableColumn id="2" xr3:uid="{8A077839-D0B5-419F-9796-AFCB0F04F63B}" name="Manufacturer (max 2 per manufactuerer)" dataDxfId="21"/>
    <tableColumn id="19" xr3:uid="{3BFD67DD-B91D-4568-979B-2D7AE2F6CA72}" name="Is product available through the NOI VPT Method? (Y/N)" dataDxfId="20"/>
    <tableColumn id="24" xr3:uid="{62D1D2D8-9DD9-499B-9A78-E4DABF730ED7}" name="Does the product meet the written nutritional specifications in Attachment #? (Y/N)" dataDxfId="19"/>
    <tableColumn id="3" xr3:uid="{5ABFACCC-9618-4C2A-92A2-3475063A6D2F}" name="Product Description" dataDxfId="18"/>
    <tableColumn id="17" xr3:uid="{EE4DE2A4-CB9A-4B62-BFEA-5D3A42A51270}" name="Manufacturer Product Code" dataDxfId="17"/>
    <tableColumn id="4" xr3:uid="{3E908198-EEBD-4044-ADD2-FE4631E8FF24}" name="Distributor Product Code" dataDxfId="16"/>
    <tableColumn id="5" xr3:uid="{420CE748-1FCA-4EF6-A9AB-2B74E90BAD20}" name="Vendor Pack" dataDxfId="15"/>
    <tableColumn id="6" xr3:uid="{7EF24B78-B8E8-4577-B02B-B5F14BD9787F}" name="# of CN Servings per case" dataDxfId="14"/>
    <tableColumn id="7" xr3:uid="{E58FE211-C80B-4A86-8F9F-4CB6E80BEA9C}" name="Estimated Servings Annual" dataDxfId="13" dataCellStyle="Comma"/>
    <tableColumn id="8" xr3:uid="{8D41D46E-6E1E-4C7C-9363-4DE61B264219}" name="USDA Material Code" dataDxfId="12"/>
    <tableColumn id="9" xr3:uid="{D0F98120-3C6F-480C-96F2-8AD5CBA14CDE}" name="Pounds of DF Needed per Case (#)" dataDxfId="11"/>
    <tableColumn id="10" xr3:uid="{22DA0AF4-89DA-436A-A70B-B8144D553703}" name="Pass-Thru Value per case ($)" dataDxfId="10"/>
    <tableColumn id="11" xr3:uid="{CB451E74-7C86-4BBC-8FE1-A883C843BB8E}" name="Commercial Bid Price per case for NOI ($)" dataDxfId="9"/>
    <tableColumn id="20" xr3:uid="{90A22A17-DADC-4099-B34B-C7AAF99EA266}" name="Region 1: Fixed Fee Per Case ($)" dataDxfId="8"/>
    <tableColumn id="12" xr3:uid="{3FFD0BE7-B8F3-4599-ACFC-D108FB6FFD2D}" name="Region 2: Fixed Fee Per Case ($)" dataDxfId="7"/>
    <tableColumn id="16" xr3:uid="{FA89F704-4F28-4401-B070-12BF23177402}" name="Special Order Item? (Y/N)" dataDxfId="6"/>
    <tableColumn id="18" xr3:uid="{9E478D31-0551-40DA-87AD-7B3FDBAD8D2D}" name="NOI Net Cost Per Case (O-N)+P" dataDxfId="5" dataCellStyle="Currency">
      <calculatedColumnFormula>(Table143891011[[#This Row],[Commercial Bid Price per case for NOI ($)]]-Table143891011[[#This Row],[Pass-Thru Value per case ($)]])+Table143891011[[#This Row],[Region 1: Fixed Fee Per Case ($)]]</calculatedColumnFormula>
    </tableColumn>
    <tableColumn id="13" xr3:uid="{22A131C4-B2A7-4C3F-BC78-C01A6C4B39A6}" name="Total Cost Per Serving (O+P)/J" dataDxfId="4" dataCellStyle="Currency">
      <calculatedColumnFormula>(Table143891011[[#This Row],[Commercial Bid Price per case for NOI ($)]]+Table143891011[[#This Row],[Region 1: Fixed Fee Per Case ($)]])/Table143891011[[#This Row],['# of CN Servings per case]]</calculatedColumnFormula>
    </tableColumn>
    <tableColumn id="14" xr3:uid="{9DEAF2F7-E6D3-4BA0-BA67-75ED68D26D78}" name="Total Cost Per Year (T*K)" dataDxfId="3" dataCellStyle="Currency">
      <calculatedColumnFormula>Table143891011[[#This Row],[Total Cost Per Serving (O+P)/J]]*Table143891011[[#This Row],[Estimated Servings Annual]]</calculatedColumnFormula>
    </tableColumn>
    <tableColumn id="21" xr3:uid="{1590C775-C3D1-481C-8C46-32CDA21FE625}" name="NOI Net Cost Per Case (O-N)+Q" dataDxfId="2" dataCellStyle="Currency">
      <calculatedColumnFormula>(Table143891011[[#This Row],[Commercial Bid Price per case for NOI ($)]]-Table143891011[[#This Row],[Pass-Thru Value per case ($)]])+Table143891011[[#This Row],[Region 2: Fixed Fee Per Case ($)]]</calculatedColumnFormula>
    </tableColumn>
    <tableColumn id="22" xr3:uid="{ADE58F2F-8EBF-43F6-B8B4-13ABA9991F1E}" name="Total Cost Per Serving (O+Q)/J" dataDxfId="1" dataCellStyle="Currency">
      <calculatedColumnFormula>(Table143891011[[#This Row],[Commercial Bid Price per case for NOI ($)]]+Table143891011[[#This Row],[Region 2: Fixed Fee Per Case ($)]])/Table143891011[[#This Row],['# of CN Servings per case]]</calculatedColumnFormula>
    </tableColumn>
    <tableColumn id="23" xr3:uid="{CF44D861-313B-48F8-A615-76A4D896C574}" name="Total Cost Per Year (W*K)" dataDxfId="0" dataCellStyle="Currency">
      <calculatedColumnFormula>Table143891011[[#This Row],[Total Cost Per Serving (O+Q)/J]]*Table143891011[[#This Row],[Estimated Servings Annual]]</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19F18F-81AD-47C5-90C1-C89809FD38F6}" name="Table142" displayName="Table142" ref="A2:X26" totalsRowShown="0" headerRowDxfId="269" dataDxfId="268" tableBorderDxfId="267">
  <autoFilter ref="A2:X26" xr:uid="{00000000-0009-0000-0100-000003000000}"/>
  <tableColumns count="24">
    <tableColumn id="15" xr3:uid="{F3AC2C7B-A1E1-487D-BB46-DC67C5EFFFF1}" name="Category" dataDxfId="266"/>
    <tableColumn id="1" xr3:uid="{D6093525-EEE4-4C23-ADAD-7811FF62547A}" name="Product Spec #" dataDxfId="265"/>
    <tableColumn id="2" xr3:uid="{1E31259A-594A-452C-921B-16191F75B3F8}" name="Manufacturer (max 2 per manufactuerer)" dataDxfId="264"/>
    <tableColumn id="19" xr3:uid="{443B9533-5E67-41D3-93CB-42F961769CD7}" name="Is product available through the NOI VPT Method? (Y/N)" dataDxfId="263"/>
    <tableColumn id="24" xr3:uid="{9D45E28A-AF4B-4E86-84AB-FA87DD491973}" name="Does the product meet the written nutritional specifications in Attachment #? (Y/N)" dataDxfId="262"/>
    <tableColumn id="3" xr3:uid="{E821B8B7-35A6-476E-8145-341E8C7F4178}" name="Product Description" dataDxfId="261"/>
    <tableColumn id="17" xr3:uid="{41FFACC1-764D-4171-8E0F-8C0DF3346956}" name="Manufacturer Product Code" dataDxfId="260"/>
    <tableColumn id="4" xr3:uid="{176494C6-2A76-4538-A402-0C56929FE04B}" name="Distributor Product Code" dataDxfId="259"/>
    <tableColumn id="5" xr3:uid="{508E4E4D-626E-419A-83F9-61E9E4D34DFA}" name="Vendor Pack" dataDxfId="258"/>
    <tableColumn id="6" xr3:uid="{F6130F44-4386-4888-B3A2-60212DD30627}" name="# of CN Servings per case" dataDxfId="257"/>
    <tableColumn id="7" xr3:uid="{F404523B-FF5D-4026-8117-2A06C7973CEA}" name="Estimated Servings Annual" dataDxfId="256" dataCellStyle="Comma"/>
    <tableColumn id="8" xr3:uid="{CC2B7C80-2C1F-4C02-B6E7-2902E3483CB1}" name="USDA Material Code" dataDxfId="255"/>
    <tableColumn id="9" xr3:uid="{CCE48265-9DFC-4650-9FA0-E9B0859696B1}" name="Pounds of DF Needed per Case (#)" dataDxfId="254"/>
    <tableColumn id="10" xr3:uid="{A8C8B60C-3BB8-4F0B-9444-944B84790A1A}" name="Pass-Thru Value per case ($)" dataDxfId="253"/>
    <tableColumn id="11" xr3:uid="{C00B3940-A376-497C-AF0A-67C6B25E1F26}" name="Commercial Bid Price per case for NOI ($)" dataDxfId="252"/>
    <tableColumn id="20" xr3:uid="{34BC7ECD-A497-4179-93E9-8FE82FB7278B}" name="Region 1: Fixed Fee Per Case ($)" dataDxfId="251"/>
    <tableColumn id="12" xr3:uid="{C82A6E18-688A-4F5B-8636-75303E82F95F}" name="Region 2: Fixed Fee Per Case ($)" dataDxfId="250"/>
    <tableColumn id="16" xr3:uid="{F0FB90BB-E623-4A5B-A589-9848ABC9D811}" name="Special Order Item? (Y/N)" dataDxfId="249"/>
    <tableColumn id="18" xr3:uid="{833B0CB8-247D-45D6-969B-0FC10B7B31AF}" name="NOI Net Cost Per Case (O-N)+P" dataDxfId="248" dataCellStyle="Currency">
      <calculatedColumnFormula>(Table142[[#This Row],[Commercial Bid Price per case for NOI ($)]]-Table142[[#This Row],[Pass-Thru Value per case ($)]])+Table142[[#This Row],[Region 1: Fixed Fee Per Case ($)]]</calculatedColumnFormula>
    </tableColumn>
    <tableColumn id="13" xr3:uid="{41EDE6CA-396F-45D7-A3F3-FAB567669DD5}" name="Total Cost Per Serving (O+P)/J" dataDxfId="247" dataCellStyle="Currency">
      <calculatedColumnFormula>(Table142[[#This Row],[Commercial Bid Price per case for NOI ($)]]+Table142[[#This Row],[Region 1: Fixed Fee Per Case ($)]])/Table142[[#This Row],['# of CN Servings per case]]</calculatedColumnFormula>
    </tableColumn>
    <tableColumn id="14" xr3:uid="{9B92405D-7758-4B98-B052-1A2132366552}" name="Total Cost Per Year (T*K)" dataDxfId="246" dataCellStyle="Currency">
      <calculatedColumnFormula>Table142[[#This Row],[Total Cost Per Serving (O+P)/J]]*Table142[[#This Row],[Estimated Servings Annual]]</calculatedColumnFormula>
    </tableColumn>
    <tableColumn id="21" xr3:uid="{B17C17E4-9FC3-4D38-AFD1-21323D66681E}" name="NOI Net Cost Per Case (O-N)+Q" dataDxfId="245" dataCellStyle="Currency">
      <calculatedColumnFormula>(Table142[[#This Row],[Commercial Bid Price per case for NOI ($)]]-Table142[[#This Row],[Pass-Thru Value per case ($)]])+Table142[[#This Row],[Region 2: Fixed Fee Per Case ($)]]</calculatedColumnFormula>
    </tableColumn>
    <tableColumn id="22" xr3:uid="{08CADADB-B808-4C7D-81B8-484FCBF0FF02}" name="Total Cost Per Serving (O+Q)/J" dataDxfId="244" dataCellStyle="Currency">
      <calculatedColumnFormula>(Table142[[#This Row],[Commercial Bid Price per case for NOI ($)]]+Table142[[#This Row],[Region 2: Fixed Fee Per Case ($)]])/Table142[[#This Row],['# of CN Servings per case]]</calculatedColumnFormula>
    </tableColumn>
    <tableColumn id="23" xr3:uid="{753AA2FB-F717-4317-B3D3-099AE5791C5D}" name="Total Cost Per Year (W*K)" dataDxfId="243" dataCellStyle="Currency">
      <calculatedColumnFormula>Table142[[#This Row],[Total Cost Per Serving (O+Q)/J]]*Table142[[#This Row],[Estimated Servings Annual]]</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B9B4CD6-7A4E-4BDA-A0FA-CB726A0C87C4}" name="Table143" displayName="Table143" ref="A2:X90" totalsRowShown="0" headerRowDxfId="242" dataDxfId="241" tableBorderDxfId="240">
  <autoFilter ref="A2:X90" xr:uid="{00000000-0009-0000-0100-000003000000}"/>
  <tableColumns count="24">
    <tableColumn id="15" xr3:uid="{527F4B57-FF20-4806-AD0B-01F25F90C95A}" name="Category" dataDxfId="239"/>
    <tableColumn id="1" xr3:uid="{FF0DB79B-B333-4FCD-BBB8-33FF392DA44C}" name="Product Spec #" dataDxfId="238"/>
    <tableColumn id="2" xr3:uid="{6EEC362A-1E40-4CD6-ADDF-7076DC05B649}" name="Manufacturer (max 2 per manufactuerer)" dataDxfId="237"/>
    <tableColumn id="19" xr3:uid="{19EC1135-6FDD-4022-AEA2-B9C3591687F8}" name="Is product available through the NOI VPT Method? (Y/N)" dataDxfId="236"/>
    <tableColumn id="24" xr3:uid="{3728DCDD-A0F6-4102-A16C-F8061571CAC7}" name="Does the product meet the written nutritional specifications in Attachment #? (Y/N)" dataDxfId="235"/>
    <tableColumn id="3" xr3:uid="{5F6A1456-149D-4FCB-BAA7-89A12D7CAC3C}" name="Product Description" dataDxfId="234"/>
    <tableColumn id="17" xr3:uid="{8FCFE67F-C071-443C-866D-467E81F1596A}" name="Manufacturer Product Code" dataDxfId="233"/>
    <tableColumn id="4" xr3:uid="{65A1FD48-AFB8-4F24-B12E-5E4B8C7629BD}" name="Distributor Product Code" dataDxfId="232"/>
    <tableColumn id="5" xr3:uid="{1DAD5F68-B301-4F13-A5FB-4A925F5E87E6}" name="Vendor Pack" dataDxfId="231"/>
    <tableColumn id="6" xr3:uid="{26B6D43C-9E93-44CC-87EC-34FD635AF24B}" name="# of CN Servings per case" dataDxfId="230"/>
    <tableColumn id="7" xr3:uid="{8AB88B5E-1A02-4BE9-AC99-14DECB622A5A}" name="Estimated Servings Annual" dataDxfId="229" dataCellStyle="Comma"/>
    <tableColumn id="8" xr3:uid="{1C36E280-2D72-42D8-A2B0-BCE57CC1FAA7}" name="USDA Material Code" dataDxfId="228"/>
    <tableColumn id="9" xr3:uid="{D831AC50-0122-4718-9834-39DDE1EF1DE7}" name="Pounds of DF Needed per Case (#)" dataDxfId="227"/>
    <tableColumn id="10" xr3:uid="{3CB00FA9-1B0A-42AA-ADD8-CBC78D5062C7}" name="Pass-Thru Value per case ($)" dataDxfId="226"/>
    <tableColumn id="11" xr3:uid="{EE3D0DCF-8C9D-41F5-A33A-F4A3C1D6ED30}" name="Commercial Bid Price per case for NOI ($)" dataDxfId="225"/>
    <tableColumn id="20" xr3:uid="{8162A5CE-D559-4943-AAFD-B17AFA27C001}" name="Region 1: Fixed Fee Per Case ($)" dataDxfId="224"/>
    <tableColumn id="12" xr3:uid="{C4A25ECC-5EFF-4F48-B1AA-60E6DFF44F42}" name="Region 2: Fixed Fee Per Case ($)" dataDxfId="223"/>
    <tableColumn id="16" xr3:uid="{0B6FC2EF-CCBE-401B-A7A8-52C52CC09B2D}" name="Special Order Item? (Y/N)" dataDxfId="222"/>
    <tableColumn id="18" xr3:uid="{0CDEBEAF-59B5-4533-B541-3077E50ED9B7}" name="NOI Net Cost Per Case (O-N)+P" dataDxfId="221" dataCellStyle="Currency">
      <calculatedColumnFormula>(Table143[[#This Row],[Commercial Bid Price per case for NOI ($)]]-Table143[[#This Row],[Pass-Thru Value per case ($)]])+Table143[[#This Row],[Region 1: Fixed Fee Per Case ($)]]</calculatedColumnFormula>
    </tableColumn>
    <tableColumn id="13" xr3:uid="{7598380C-DA5B-4F74-8B36-495333E55630}" name="Total Cost Per Serving (O+P)/J" dataDxfId="220" dataCellStyle="Currency">
      <calculatedColumnFormula>(Table143[[#This Row],[Commercial Bid Price per case for NOI ($)]]+Table143[[#This Row],[Region 1: Fixed Fee Per Case ($)]])/Table143[[#This Row],['# of CN Servings per case]]</calculatedColumnFormula>
    </tableColumn>
    <tableColumn id="14" xr3:uid="{6D85106B-1613-4905-9B70-FBEEBC7C6B4D}" name="Total Cost Per Year (T*K)" dataDxfId="219" dataCellStyle="Currency">
      <calculatedColumnFormula>Table143[[#This Row],[Total Cost Per Serving (O+P)/J]]*Table143[[#This Row],[Estimated Servings Annual]]</calculatedColumnFormula>
    </tableColumn>
    <tableColumn id="21" xr3:uid="{A7BCA054-26B7-4E15-BF30-B493CFEB2F22}" name="NOI Net Cost Per Case (O-N)+Q" dataDxfId="218" dataCellStyle="Currency">
      <calculatedColumnFormula>(Table143[[#This Row],[Commercial Bid Price per case for NOI ($)]]-Table143[[#This Row],[Pass-Thru Value per case ($)]])+Table143[[#This Row],[Region 2: Fixed Fee Per Case ($)]]</calculatedColumnFormula>
    </tableColumn>
    <tableColumn id="22" xr3:uid="{23943F66-14F5-40D7-A502-AF31E3C6C835}" name="Total Cost Per Serving (O+Q)/J" dataDxfId="217" dataCellStyle="Currency">
      <calculatedColumnFormula>(Table143[[#This Row],[Commercial Bid Price per case for NOI ($)]]+Table143[[#This Row],[Region 2: Fixed Fee Per Case ($)]])/Table143[[#This Row],['# of CN Servings per case]]</calculatedColumnFormula>
    </tableColumn>
    <tableColumn id="23" xr3:uid="{25E79AAA-D0B1-415F-AC46-EA7E63A15A14}" name="Total Cost Per Year (W*K)" dataDxfId="216" dataCellStyle="Currency">
      <calculatedColumnFormula>Table143[[#This Row],[Total Cost Per Serving (O+Q)/J]]*Table143[[#This Row],[Estimated Servings Annual]]</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FAB33C4-5111-4760-BD6A-DB9E3764F7CA}" name="Table1435" displayName="Table1435" ref="A2:X82" totalsRowShown="0" headerRowDxfId="215" dataDxfId="214" tableBorderDxfId="213">
  <autoFilter ref="A2:X82" xr:uid="{00000000-0009-0000-0100-000003000000}"/>
  <tableColumns count="24">
    <tableColumn id="15" xr3:uid="{C9DFA337-441E-4F1A-AA57-142D81C242EF}" name="Category" dataDxfId="212"/>
    <tableColumn id="1" xr3:uid="{B223BEC2-A985-472B-B936-87463D008165}" name="Product Spec #" dataDxfId="211"/>
    <tableColumn id="2" xr3:uid="{78825C30-D17E-475A-9E53-86AC6D63EBC2}" name="Manufacturer (max 2 per manufactuerer)" dataDxfId="210"/>
    <tableColumn id="19" xr3:uid="{5C17C0A0-9504-46C5-A4EE-68C4661BE609}" name="Is product available through the NOI VPT Method? (Y/N)" dataDxfId="209"/>
    <tableColumn id="24" xr3:uid="{EF361A0F-E17B-4D06-901A-6EFE09F69AD9}" name="Does the product meet the written nutritional specifications in Attachment #? (Y/N)" dataDxfId="208"/>
    <tableColumn id="3" xr3:uid="{741080E2-053B-441A-9AA5-76F534ED21E2}" name="Product Description" dataDxfId="207"/>
    <tableColumn id="17" xr3:uid="{AB82FD1B-8E12-46AE-9116-69CDE26C28B1}" name="Manufacturer Product Code" dataDxfId="206"/>
    <tableColumn id="4" xr3:uid="{ACFF2102-440C-4D2F-A917-F89F2621D7D5}" name="Distributor Product Code" dataDxfId="205"/>
    <tableColumn id="5" xr3:uid="{340C27AD-71C0-45EB-8073-17E586F14DD6}" name="Vendor Pack" dataDxfId="204"/>
    <tableColumn id="6" xr3:uid="{B7CE2B90-A6AA-4E7C-A4B5-579B4909EB68}" name="# of CN Servings per case" dataDxfId="203"/>
    <tableColumn id="7" xr3:uid="{65571FE4-81A1-4874-845C-911F383D364A}" name="Estimated Servings Annual" dataDxfId="202" dataCellStyle="Comma"/>
    <tableColumn id="8" xr3:uid="{AB8F4AAF-8628-4ECD-AC5E-7D27D18A9FB5}" name="USDA Material Code" dataDxfId="201"/>
    <tableColumn id="9" xr3:uid="{46A4BD4C-BBC9-407F-9C9B-3BA3EE623E45}" name="Pounds of DF Needed per Case (#)" dataDxfId="200"/>
    <tableColumn id="10" xr3:uid="{C53F0CD8-7D12-409A-9F81-4D4A070CFD4C}" name="Pass-Thru Value per case ($)" dataDxfId="199"/>
    <tableColumn id="11" xr3:uid="{7D3064E0-058D-4DF2-8BDB-C4B5373E3222}" name="Commercial Bid Price per case for NOI ($)" dataDxfId="198"/>
    <tableColumn id="20" xr3:uid="{4103E20E-4BD9-472F-8F89-55E35CA50291}" name="Region 1: Fixed Fee Per Case ($)" dataDxfId="197"/>
    <tableColumn id="12" xr3:uid="{6587E3E8-BE01-461A-8F53-3E4FE88BF67B}" name="Region 2: Fixed Fee Per Case ($)" dataDxfId="196"/>
    <tableColumn id="16" xr3:uid="{A71A7F76-CE38-4886-8283-DDD55046E914}" name="Special Order Item? (Y/N)" dataDxfId="195"/>
    <tableColumn id="18" xr3:uid="{1BD02B08-CC6A-4856-AE89-E6CBFDBE063E}" name="NOI Net Cost Per Case (O-N)+P" dataDxfId="194" dataCellStyle="Currency">
      <calculatedColumnFormula>(Table1435[[#This Row],[Commercial Bid Price per case for NOI ($)]]-Table1435[[#This Row],[Pass-Thru Value per case ($)]])+Table1435[[#This Row],[Region 1: Fixed Fee Per Case ($)]]</calculatedColumnFormula>
    </tableColumn>
    <tableColumn id="13" xr3:uid="{1E0E0C01-D1D5-4491-9621-3E1F68A111B1}" name="Total Cost Per Serving (O+P)/J" dataDxfId="193" dataCellStyle="Currency">
      <calculatedColumnFormula>(Table1435[[#This Row],[Commercial Bid Price per case for NOI ($)]]+Table1435[[#This Row],[Region 1: Fixed Fee Per Case ($)]])/Table1435[[#This Row],['# of CN Servings per case]]</calculatedColumnFormula>
    </tableColumn>
    <tableColumn id="14" xr3:uid="{B903388E-B4D3-4852-9BBD-0F4F3FDB0167}" name="Total Cost Per Year (T*K)" dataDxfId="192" dataCellStyle="Currency">
      <calculatedColumnFormula>Table1435[[#This Row],[Total Cost Per Serving (O+P)/J]]*Table1435[[#This Row],[Estimated Servings Annual]]</calculatedColumnFormula>
    </tableColumn>
    <tableColumn id="21" xr3:uid="{EDF1A11F-949A-4969-898F-95A8AF5B122B}" name="NOI Net Cost Per Case (O-N)+Q" dataDxfId="191" dataCellStyle="Currency">
      <calculatedColumnFormula>(Table1435[[#This Row],[Commercial Bid Price per case for NOI ($)]]-Table1435[[#This Row],[Pass-Thru Value per case ($)]])+Table1435[[#This Row],[Region 2: Fixed Fee Per Case ($)]]</calculatedColumnFormula>
    </tableColumn>
    <tableColumn id="22" xr3:uid="{F18A6B38-8081-4649-AE05-8E20EB381187}" name="Total Cost Per Serving (O+Q)/J" dataDxfId="190" dataCellStyle="Currency">
      <calculatedColumnFormula>(Table1435[[#This Row],[Commercial Bid Price per case for NOI ($)]]+Table1435[[#This Row],[Region 2: Fixed Fee Per Case ($)]])/Table1435[[#This Row],['# of CN Servings per case]]</calculatedColumnFormula>
    </tableColumn>
    <tableColumn id="23" xr3:uid="{367C875E-1026-45FB-9BF2-D4F04ADBB419}" name="Total Cost Per Year (W*K)" dataDxfId="189" dataCellStyle="Currency">
      <calculatedColumnFormula>Table1435[[#This Row],[Total Cost Per Serving (O+Q)/J]]*Table1435[[#This Row],[Estimated Servings Annual]]</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808B789-DE11-49C9-9D6C-571A0F67AA34}" name="Table14356" displayName="Table14356" ref="A2:X34" totalsRowShown="0" headerRowDxfId="188" dataDxfId="187" tableBorderDxfId="186">
  <autoFilter ref="A2:X34" xr:uid="{00000000-0009-0000-0100-000003000000}"/>
  <tableColumns count="24">
    <tableColumn id="15" xr3:uid="{744D1BA0-F148-4FC9-971E-80955B5523DC}" name="Category" dataDxfId="185"/>
    <tableColumn id="1" xr3:uid="{8BD0427F-EFD8-4A1E-9215-0137FDCEEC85}" name="Product Spec #" dataDxfId="184"/>
    <tableColumn id="2" xr3:uid="{A04D6655-AD4D-4367-85EE-FCB6706474F0}" name="Manufacturer (max 2 per manufactuerer)" dataDxfId="183"/>
    <tableColumn id="19" xr3:uid="{611B1E75-AECA-4BA8-A1D8-0464F81947B1}" name="Is product available through the NOI VPT Method? (Y/N)" dataDxfId="182"/>
    <tableColumn id="24" xr3:uid="{5FA71694-2B3B-4FC4-8492-82278D853ACD}" name="Does the product meet the written nutritional specifications in Attachment #? (Y/N)" dataDxfId="181"/>
    <tableColumn id="3" xr3:uid="{428E3A1C-A1AB-47F8-A600-BB696886B7C7}" name="Product Description" dataDxfId="180"/>
    <tableColumn id="17" xr3:uid="{5A782C38-C8D4-4DB2-825A-800B667A0BE3}" name="Manufacturer Product Code" dataDxfId="179"/>
    <tableColumn id="4" xr3:uid="{AED35B26-7FD4-44E6-89F9-33FA80E8DE8D}" name="Distributor Product Code" dataDxfId="178"/>
    <tableColumn id="5" xr3:uid="{1C843431-1123-446B-9A14-E454DEA5EC0B}" name="Vendor Pack" dataDxfId="177"/>
    <tableColumn id="6" xr3:uid="{055732DA-4F39-4C32-8405-E2D75664897E}" name="# of CN Servings per case" dataDxfId="176"/>
    <tableColumn id="7" xr3:uid="{92C800C9-C685-46CF-BBD3-825989D53F9A}" name="Estimated Servings Annual" dataDxfId="175" dataCellStyle="Comma"/>
    <tableColumn id="8" xr3:uid="{FC4C9827-A8B3-46F4-95D2-FA0BD2997D30}" name="USDA Material Code" dataDxfId="174"/>
    <tableColumn id="9" xr3:uid="{068402B6-90F4-40E8-AD02-E0FDECAA4889}" name="Pounds of DF Needed per Case (#)" dataDxfId="173"/>
    <tableColumn id="10" xr3:uid="{FAACEAD0-9966-487E-8A34-E731DA5A56D1}" name="Pass-Thru Value per case ($)" dataDxfId="172"/>
    <tableColumn id="11" xr3:uid="{D53B1E54-B5B0-4E1E-A4E3-ED7DE547888C}" name="Commercial Bid Price per case for NOI ($)" dataDxfId="171"/>
    <tableColumn id="20" xr3:uid="{D3890076-BF60-4958-9FF2-A2F0FE4B9DC2}" name="Region 1: Fixed Fee Per Case ($)" dataDxfId="170"/>
    <tableColumn id="12" xr3:uid="{83816C20-E02E-4FF6-B49E-B92568971946}" name="Region 2: Fixed Fee Per Case ($)" dataDxfId="169"/>
    <tableColumn id="16" xr3:uid="{55528A11-7359-400A-A22F-BCC200519E7D}" name="Special Order Item? (Y/N)" dataDxfId="168"/>
    <tableColumn id="18" xr3:uid="{6CFF5945-C38E-4328-A649-A11D0D66A841}" name="NOI Net Cost Per Case (O-N)+P" dataDxfId="167" dataCellStyle="Currency">
      <calculatedColumnFormula>(Table14356[[#This Row],[Commercial Bid Price per case for NOI ($)]]-Table14356[[#This Row],[Pass-Thru Value per case ($)]])+Table14356[[#This Row],[Region 1: Fixed Fee Per Case ($)]]</calculatedColumnFormula>
    </tableColumn>
    <tableColumn id="13" xr3:uid="{6E380DFC-3D9E-4615-87BC-71DD93665BE0}" name="Total Cost Per Serving (O+P)/J" dataDxfId="166" dataCellStyle="Currency">
      <calculatedColumnFormula>(Table14356[[#This Row],[Commercial Bid Price per case for NOI ($)]]+Table14356[[#This Row],[Region 1: Fixed Fee Per Case ($)]])/Table14356[[#This Row],['# of CN Servings per case]]</calculatedColumnFormula>
    </tableColumn>
    <tableColumn id="14" xr3:uid="{E0AA219B-477C-444F-9513-03FDE11815BF}" name="Total Cost Per Year (T*K)" dataDxfId="165" dataCellStyle="Currency">
      <calculatedColumnFormula>Table14356[[#This Row],[Total Cost Per Serving (O+P)/J]]*Table14356[[#This Row],[Estimated Servings Annual]]</calculatedColumnFormula>
    </tableColumn>
    <tableColumn id="21" xr3:uid="{590119D6-4863-4840-9EFA-2848F7BFD08D}" name="NOI Net Cost Per Case (O-N)+Q" dataDxfId="164" dataCellStyle="Currency">
      <calculatedColumnFormula>(Table14356[[#This Row],[Commercial Bid Price per case for NOI ($)]]-Table14356[[#This Row],[Pass-Thru Value per case ($)]])+Table14356[[#This Row],[Region 2: Fixed Fee Per Case ($)]]</calculatedColumnFormula>
    </tableColumn>
    <tableColumn id="22" xr3:uid="{5E945C5B-FB5C-432C-8421-127B7227CE70}" name="Total Cost Per Serving (O+Q)/J" dataDxfId="163" dataCellStyle="Currency">
      <calculatedColumnFormula>(Table14356[[#This Row],[Commercial Bid Price per case for NOI ($)]]+Table14356[[#This Row],[Region 2: Fixed Fee Per Case ($)]])/Table14356[[#This Row],['# of CN Servings per case]]</calculatedColumnFormula>
    </tableColumn>
    <tableColumn id="23" xr3:uid="{82DF4DFC-720F-4FC3-B81C-0B6712AEC934}" name="Total Cost Per Year (W*K)" dataDxfId="162" dataCellStyle="Currency">
      <calculatedColumnFormula>Table14356[[#This Row],[Total Cost Per Serving (O+Q)/J]]*Table14356[[#This Row],[Estimated Servings Annual]]</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3414A13-006A-4CC5-8DA2-038090B7FDEF}" name="Table1437" displayName="Table1437" ref="A2:X154" totalsRowShown="0" headerRowDxfId="161" dataDxfId="160" tableBorderDxfId="159">
  <autoFilter ref="A2:X154" xr:uid="{00000000-0009-0000-0100-000003000000}"/>
  <tableColumns count="24">
    <tableColumn id="15" xr3:uid="{E94F8FA8-A017-4AD3-B76F-CA90A7C16482}" name="Category" dataDxfId="158"/>
    <tableColumn id="1" xr3:uid="{4B454D4E-FE71-4BBA-9283-D7978A4F586F}" name="Product Spec #" dataDxfId="157"/>
    <tableColumn id="2" xr3:uid="{ABAFB623-117F-4099-8D08-CDF752E5F766}" name="Manufacturer (max 2 per manufactuerer)" dataDxfId="156"/>
    <tableColumn id="19" xr3:uid="{5A525AA6-13EF-4A7D-8F80-F434EF2E3CED}" name="Is product available through the NOI VPT Method? (Y/N)" dataDxfId="155"/>
    <tableColumn id="24" xr3:uid="{784BB4F7-0094-47D8-BD6A-E9963547D40C}" name="Does the product meet the written nutritional specifications in Attachment #? (Y/N)" dataDxfId="154"/>
    <tableColumn id="3" xr3:uid="{CFFEE633-C919-4A65-A2A2-27F47B095A87}" name="Product Description" dataDxfId="153"/>
    <tableColumn id="17" xr3:uid="{A17B329E-5183-47B5-96E9-2A1FB0E44A97}" name="Manufacturer Product Code" dataDxfId="152"/>
    <tableColumn id="4" xr3:uid="{6B65286B-2DC3-493F-A9A8-2608BC0D245A}" name="Distributor Product Code" dataDxfId="151"/>
    <tableColumn id="5" xr3:uid="{4C5DDD65-DC1A-4F6F-867A-082E59BE45CB}" name="Vendor Pack" dataDxfId="150"/>
    <tableColumn id="6" xr3:uid="{7F346756-A029-4931-8520-FEA7346A03AA}" name="# of CN Servings per case" dataDxfId="149"/>
    <tableColumn id="7" xr3:uid="{17477F83-8846-40A9-A66D-BA5513093EE4}" name="Estimated Servings Annual" dataDxfId="148" dataCellStyle="Comma"/>
    <tableColumn id="8" xr3:uid="{13D70C80-522D-48F8-B86B-7BAB8A5B28E3}" name="USDA Material Code" dataDxfId="147"/>
    <tableColumn id="9" xr3:uid="{980589B1-519E-4081-A0B1-4BBBD6C14219}" name="Pounds of DF Needed per Case (#)" dataDxfId="146"/>
    <tableColumn id="10" xr3:uid="{94C1F003-36F8-4028-A4AE-7D68D5F82865}" name="Pass-Thru Value per case ($)" dataDxfId="145"/>
    <tableColumn id="11" xr3:uid="{76E5E656-0B1A-4291-937A-18124C88ACC4}" name="Commercial Bid Price per case for NOI ($)" dataDxfId="144"/>
    <tableColumn id="20" xr3:uid="{703ED408-0445-4395-B9C6-E08FE80CEF3E}" name="Region 1: Fixed Fee Per Case ($)" dataDxfId="143"/>
    <tableColumn id="12" xr3:uid="{1509721D-A46E-472C-8C08-E9C5858F578F}" name="Region 2: Fixed Fee Per Case ($)" dataDxfId="142"/>
    <tableColumn id="16" xr3:uid="{86E90534-6774-4C8D-B958-4AD1A3E3BF7A}" name="Special Order Item? (Y/N)" dataDxfId="141"/>
    <tableColumn id="18" xr3:uid="{B7DFDAF7-32DA-4B0B-BA3E-239F0B0FE55D}" name="NOI Net Cost Per Case (O-N)+P" dataDxfId="140" dataCellStyle="Currency">
      <calculatedColumnFormula>(Table1437[[#This Row],[Commercial Bid Price per case for NOI ($)]]-Table1437[[#This Row],[Pass-Thru Value per case ($)]])+Table1437[[#This Row],[Region 1: Fixed Fee Per Case ($)]]</calculatedColumnFormula>
    </tableColumn>
    <tableColumn id="13" xr3:uid="{C7F89965-DA6C-4C59-9BBB-F205BED4E1A1}" name="Total Cost Per Serving (O+P)/J" dataDxfId="139" dataCellStyle="Currency">
      <calculatedColumnFormula>(Table1437[[#This Row],[Commercial Bid Price per case for NOI ($)]]+Table1437[[#This Row],[Region 1: Fixed Fee Per Case ($)]])/Table1437[[#This Row],['# of CN Servings per case]]</calculatedColumnFormula>
    </tableColumn>
    <tableColumn id="14" xr3:uid="{32F10DA8-1BF4-49AC-81B5-9B0E8897D4AC}" name="Total Cost Per Year (T*K)" dataDxfId="138" dataCellStyle="Currency">
      <calculatedColumnFormula>Table1437[[#This Row],[Total Cost Per Serving (O+P)/J]]*Table1437[[#This Row],[Estimated Servings Annual]]</calculatedColumnFormula>
    </tableColumn>
    <tableColumn id="21" xr3:uid="{1C9C9930-2C8A-4E5D-9947-9C6773EC59C3}" name="NOI Net Cost Per Case (O-N)+Q" dataDxfId="137" dataCellStyle="Currency">
      <calculatedColumnFormula>(Table1437[[#This Row],[Commercial Bid Price per case for NOI ($)]]-Table1437[[#This Row],[Pass-Thru Value per case ($)]])+Table1437[[#This Row],[Region 2: Fixed Fee Per Case ($)]]</calculatedColumnFormula>
    </tableColumn>
    <tableColumn id="22" xr3:uid="{1E64A225-0173-47CB-838F-D9E10A8A6876}" name="Total Cost Per Serving (O+Q)/J" dataDxfId="136" dataCellStyle="Currency">
      <calculatedColumnFormula>(Table1437[[#This Row],[Commercial Bid Price per case for NOI ($)]]+Table1437[[#This Row],[Region 2: Fixed Fee Per Case ($)]])/Table1437[[#This Row],['# of CN Servings per case]]</calculatedColumnFormula>
    </tableColumn>
    <tableColumn id="23" xr3:uid="{007B25E3-95AD-445A-89E8-9DB600D444D9}" name="Total Cost Per Year (W*K)" dataDxfId="135" dataCellStyle="Currency">
      <calculatedColumnFormula>Table1437[[#This Row],[Total Cost Per Serving (O+Q)/J]]*Table1437[[#This Row],[Estimated Servings Annual]]</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32C6654-A8CB-4814-9F10-7C1DD61E92DE}" name="Table1438" displayName="Table1438" ref="A2:X114" totalsRowShown="0" headerRowDxfId="134" dataDxfId="133" tableBorderDxfId="132">
  <autoFilter ref="A2:X114" xr:uid="{00000000-0009-0000-0100-000003000000}"/>
  <tableColumns count="24">
    <tableColumn id="15" xr3:uid="{9A83CB80-7492-4879-BA20-6D2C5266B31B}" name="Category" dataDxfId="131"/>
    <tableColumn id="1" xr3:uid="{09D1166C-9E2D-4ECD-B900-4E9EF66392AD}" name="Product Spec #" dataDxfId="130"/>
    <tableColumn id="2" xr3:uid="{D571CD53-5F48-4856-940C-DB85A9FCE621}" name="Manufacturer (max 2 per manufactuerer)" dataDxfId="129"/>
    <tableColumn id="19" xr3:uid="{71CAFBCA-89F7-4798-9828-B1D9736675B0}" name="Is product available through the NOI VPT Method? (Y/N)" dataDxfId="128"/>
    <tableColumn id="24" xr3:uid="{0E79D9CB-69E7-49B3-BD4A-8C8B5C2DE997}" name="Does the product meet the written nutritional specifications in Attachment #? (Y/N)" dataDxfId="127"/>
    <tableColumn id="3" xr3:uid="{A608A365-C79F-4496-8BDC-9F9E682CBEB1}" name="Product Description" dataDxfId="126"/>
    <tableColumn id="17" xr3:uid="{F65F2BCD-A6DB-499D-B984-976E0B12DF6D}" name="Manufacturer Product Code" dataDxfId="125"/>
    <tableColumn id="4" xr3:uid="{6CABF202-2459-4FF0-AFAB-086790AE8288}" name="Distributor Product Code" dataDxfId="124"/>
    <tableColumn id="5" xr3:uid="{5E134BDA-868B-414B-B3BE-5CEE964F03D7}" name="Vendor Pack" dataDxfId="123"/>
    <tableColumn id="6" xr3:uid="{EA057FBA-BC0F-4DAE-AAEB-87ED65116DA1}" name="# of CN Servings per case" dataDxfId="122"/>
    <tableColumn id="7" xr3:uid="{89B0A588-674B-416A-A0D5-39FD3A7031D7}" name="Estimated Servings Annual" dataDxfId="121" dataCellStyle="Comma"/>
    <tableColumn id="8" xr3:uid="{AD092C0B-287E-4C64-B197-DAFF327C1B07}" name="USDA Material Code" dataDxfId="120"/>
    <tableColumn id="9" xr3:uid="{A4844A6E-CA20-4225-BAA0-93D69A7BDB9A}" name="Pounds of DF Needed per Case (#)" dataDxfId="119"/>
    <tableColumn id="10" xr3:uid="{8924B496-20AB-45D5-99AA-263ECFE9342D}" name="Pass-Thru Value per case ($)" dataDxfId="118"/>
    <tableColumn id="11" xr3:uid="{7C5BF854-C5E6-4A6A-A1A8-507B57674512}" name="Commercial Bid Price per case for NOI ($)" dataDxfId="117"/>
    <tableColumn id="20" xr3:uid="{A58225F1-DB2C-4F7C-B554-EAEFDB028D65}" name="Region 1: Fixed Fee Per Case ($)" dataDxfId="116"/>
    <tableColumn id="12" xr3:uid="{6ECB5106-4D97-4B7C-A7BB-4F1062B98665}" name="Region 2: Fixed Fee Per Case ($)" dataDxfId="115"/>
    <tableColumn id="16" xr3:uid="{D93F0C00-2E96-4A75-83E2-28658AB3357D}" name="Special Order Item? (Y/N)" dataDxfId="114"/>
    <tableColumn id="18" xr3:uid="{29C372FB-B4D8-4F80-BF78-6ADF14F909E0}" name="NOI Net Cost Per Case (O-N)+P" dataDxfId="113" dataCellStyle="Currency">
      <calculatedColumnFormula>(Table1438[[#This Row],[Commercial Bid Price per case for NOI ($)]]-Table1438[[#This Row],[Pass-Thru Value per case ($)]])+Table1438[[#This Row],[Region 1: Fixed Fee Per Case ($)]]</calculatedColumnFormula>
    </tableColumn>
    <tableColumn id="13" xr3:uid="{D6B5FAF9-16CE-46DA-8952-649E15570615}" name="Total Cost Per Serving (O+P)/J" dataDxfId="112" dataCellStyle="Currency">
      <calculatedColumnFormula>(Table1438[[#This Row],[Commercial Bid Price per case for NOI ($)]]+Table1438[[#This Row],[Region 1: Fixed Fee Per Case ($)]])/Table1438[[#This Row],['# of CN Servings per case]]</calculatedColumnFormula>
    </tableColumn>
    <tableColumn id="14" xr3:uid="{E484F71B-0E4B-4270-A35D-2F2D59EDB77D}" name="Total Cost Per Year (T*K)" dataDxfId="111" dataCellStyle="Currency">
      <calculatedColumnFormula>Table1438[[#This Row],[Total Cost Per Serving (O+P)/J]]*Table1438[[#This Row],[Estimated Servings Annual]]</calculatedColumnFormula>
    </tableColumn>
    <tableColumn id="21" xr3:uid="{96E73B35-FF6D-4630-9060-E42BA9A354DA}" name="NOI Net Cost Per Case (O-N)+Q" dataDxfId="110" dataCellStyle="Currency">
      <calculatedColumnFormula>(Table1438[[#This Row],[Commercial Bid Price per case for NOI ($)]]-Table1438[[#This Row],[Pass-Thru Value per case ($)]])+Table1438[[#This Row],[Region 2: Fixed Fee Per Case ($)]]</calculatedColumnFormula>
    </tableColumn>
    <tableColumn id="22" xr3:uid="{0A9D732A-57AA-4677-BE9E-EB51011CFEDF}" name="Total Cost Per Serving (O+Q)/J" dataDxfId="109" dataCellStyle="Currency">
      <calculatedColumnFormula>(Table1438[[#This Row],[Commercial Bid Price per case for NOI ($)]]+Table1438[[#This Row],[Region 2: Fixed Fee Per Case ($)]])/Table1438[[#This Row],['# of CN Servings per case]]</calculatedColumnFormula>
    </tableColumn>
    <tableColumn id="23" xr3:uid="{06644B06-FF4B-47B4-B5FD-54E33070BCFA}" name="Total Cost Per Year (W*K)" dataDxfId="108" dataCellStyle="Currency">
      <calculatedColumnFormula>Table1438[[#This Row],[Total Cost Per Serving (O+Q)/J]]*Table1438[[#This Row],[Estimated Servings Annual]]</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66453E2-AB92-4520-8162-90BE318E67C6}" name="Table14389" displayName="Table14389" ref="A2:X58" totalsRowShown="0" headerRowDxfId="107" dataDxfId="106" tableBorderDxfId="105">
  <autoFilter ref="A2:X58" xr:uid="{00000000-0009-0000-0100-000003000000}"/>
  <tableColumns count="24">
    <tableColumn id="15" xr3:uid="{1A4890FF-7125-4817-9DFD-55022D19DE63}" name="Category" dataDxfId="104"/>
    <tableColumn id="1" xr3:uid="{EF11A3F3-457C-4F91-9F5A-F17F111565BF}" name="Product Spec #" dataDxfId="103"/>
    <tableColumn id="2" xr3:uid="{6D10B706-0420-4A41-AED8-7F5B963CBC8A}" name="Manufacturer (max 2 per manufactuerer)" dataDxfId="102"/>
    <tableColumn id="19" xr3:uid="{BCC7A584-E961-477B-A163-BBF4BB40AB91}" name="Is product available through the NOI VPT Method? (Y/N)" dataDxfId="101"/>
    <tableColumn id="24" xr3:uid="{2C4BA226-7460-4E0D-A3A5-F2001ECB1B43}" name="Does the product meet the written nutritional specifications in Attachment #? (Y/N)" dataDxfId="100"/>
    <tableColumn id="3" xr3:uid="{B304D6F4-16E7-4A91-B143-8FCD4EFA08CD}" name="Product Description" dataDxfId="99"/>
    <tableColumn id="17" xr3:uid="{25B797BA-0BC3-4E43-A6A3-49204E1AA4A5}" name="Manufacturer Product Code" dataDxfId="98"/>
    <tableColumn id="4" xr3:uid="{5B9D7472-BFF1-44DA-8809-82ACCA462731}" name="Distributor Product Code" dataDxfId="97"/>
    <tableColumn id="5" xr3:uid="{8F0AEC18-6A43-42CE-849C-48DE9FB1C73F}" name="Vendor Pack" dataDxfId="96"/>
    <tableColumn id="6" xr3:uid="{922C1EA8-EF23-466A-A066-F8810F210ED4}" name="# of CN Servings per case" dataDxfId="95"/>
    <tableColumn id="7" xr3:uid="{FA2F6B5D-9494-491F-BB6F-528A12FCAECE}" name="Estimated Servings Annual" dataDxfId="94" dataCellStyle="Comma"/>
    <tableColumn id="8" xr3:uid="{EA3C5BB6-D6AA-4614-A448-9B729878FD1B}" name="USDA Material Code" dataDxfId="93"/>
    <tableColumn id="9" xr3:uid="{0BCAAF6A-4091-4324-A5AC-399F925991B2}" name="Pounds of DF Needed per Case (#)" dataDxfId="92"/>
    <tableColumn id="10" xr3:uid="{ECD54660-AB8A-423A-B039-4542CC95F875}" name="Pass-Thru Value per case ($)" dataDxfId="91"/>
    <tableColumn id="11" xr3:uid="{BC5E4477-4F7F-4631-BD33-7EB07CE19234}" name="Commercial Bid Price per case for NOI ($)" dataDxfId="90"/>
    <tableColumn id="20" xr3:uid="{57686A76-CBD5-4DAE-9481-746921D0BFCE}" name="Region 1: Fixed Fee Per Case ($)" dataDxfId="89"/>
    <tableColumn id="12" xr3:uid="{444F9862-69D1-496F-8D02-1D6ED6654D53}" name="Region 2: Fixed Fee Per Case ($)" dataDxfId="88"/>
    <tableColumn id="16" xr3:uid="{6E80F74C-38BF-4E6D-A0EC-1AFBF407FD01}" name="Special Order Item? (Y/N)" dataDxfId="87"/>
    <tableColumn id="18" xr3:uid="{7F2BC0A2-8484-4DA9-A5AA-61A66ABE3E9E}" name="NOI Net Cost Per Case (O-N)+P" dataDxfId="86" dataCellStyle="Currency">
      <calculatedColumnFormula>(Table14389[[#This Row],[Commercial Bid Price per case for NOI ($)]]-Table14389[[#This Row],[Pass-Thru Value per case ($)]])+Table14389[[#This Row],[Region 1: Fixed Fee Per Case ($)]]</calculatedColumnFormula>
    </tableColumn>
    <tableColumn id="13" xr3:uid="{ACD005A7-6EC6-487C-B58E-5405ECA5D311}" name="Total Cost Per Serving (O+P)/J" dataDxfId="85" dataCellStyle="Currency">
      <calculatedColumnFormula>(Table14389[[#This Row],[Commercial Bid Price per case for NOI ($)]]+Table14389[[#This Row],[Region 1: Fixed Fee Per Case ($)]])/Table14389[[#This Row],['# of CN Servings per case]]</calculatedColumnFormula>
    </tableColumn>
    <tableColumn id="14" xr3:uid="{88CD85AF-29DF-4284-B3F3-E4F059626065}" name="Total Cost Per Year (T*K)" dataDxfId="84" dataCellStyle="Currency">
      <calculatedColumnFormula>Table14389[[#This Row],[Total Cost Per Serving (O+P)/J]]*Table14389[[#This Row],[Estimated Servings Annual]]</calculatedColumnFormula>
    </tableColumn>
    <tableColumn id="21" xr3:uid="{B6550F65-6EA9-4C65-AACF-289E716FAF94}" name="NOI Net Cost Per Case (O-N)+Q" dataDxfId="83" dataCellStyle="Currency">
      <calculatedColumnFormula>(Table14389[[#This Row],[Commercial Bid Price per case for NOI ($)]]-Table14389[[#This Row],[Pass-Thru Value per case ($)]])+Table14389[[#This Row],[Region 2: Fixed Fee Per Case ($)]]</calculatedColumnFormula>
    </tableColumn>
    <tableColumn id="22" xr3:uid="{3F69D9AF-A7DC-4A7E-A2A1-1CFA097C5BEF}" name="Total Cost Per Serving (O+Q)/J" dataDxfId="82" dataCellStyle="Currency">
      <calculatedColumnFormula>(Table14389[[#This Row],[Commercial Bid Price per case for NOI ($)]]+Table14389[[#This Row],[Region 2: Fixed Fee Per Case ($)]])/Table14389[[#This Row],['# of CN Servings per case]]</calculatedColumnFormula>
    </tableColumn>
    <tableColumn id="23" xr3:uid="{6ED42229-6823-43EC-BC72-1CC497DCAF76}" name="Total Cost Per Year (W*K)" dataDxfId="81" dataCellStyle="Currency">
      <calculatedColumnFormula>Table14389[[#This Row],[Total Cost Per Serving (O+Q)/J]]*Table14389[[#This Row],[Estimated Servings Annual]]</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D492A50-DDB4-479F-BBA5-ED0770376BD3}" name="Table1438910" displayName="Table1438910" ref="A2:X34" totalsRowShown="0" headerRowDxfId="80" dataDxfId="79" tableBorderDxfId="78">
  <autoFilter ref="A2:X34" xr:uid="{00000000-0009-0000-0100-000003000000}"/>
  <tableColumns count="24">
    <tableColumn id="15" xr3:uid="{DA047A64-9265-4735-A35C-07552ADD30B1}" name="Category" dataDxfId="77"/>
    <tableColumn id="1" xr3:uid="{7FD1EB20-97EB-4A3B-9816-E298CD95E75C}" name="Product Spec #" dataDxfId="76"/>
    <tableColumn id="2" xr3:uid="{CC6CB191-4BC7-4C45-87B2-223F0138D3B7}" name="Manufacturer (max 2 per manufactuerer)" dataDxfId="75"/>
    <tableColumn id="19" xr3:uid="{2CB66BA0-C41B-45B7-8D98-03D7F0E83C5A}" name="Is product available through the NOI VPT Method? (Y/N)" dataDxfId="74"/>
    <tableColumn id="24" xr3:uid="{BE6BC9C8-28B0-47BB-BB20-FDAAE6C7E02C}" name="Does the product meet the written nutritional specifications in Attachment #? (Y/N)" dataDxfId="73"/>
    <tableColumn id="3" xr3:uid="{B335A5A6-D2E2-4EFF-9271-9ECA7AFD26EF}" name="Product Description" dataDxfId="72"/>
    <tableColumn id="17" xr3:uid="{4A9059FE-2B90-4E1B-962C-4A14B7A13933}" name="Manufacturer Product Code" dataDxfId="71"/>
    <tableColumn id="4" xr3:uid="{4C8E8EF6-6A74-4757-9346-14629843DE8F}" name="Distributor Product Code" dataDxfId="70"/>
    <tableColumn id="5" xr3:uid="{948FCACE-67D9-40FE-863C-D2E04C1BAA5B}" name="Vendor Pack" dataDxfId="69"/>
    <tableColumn id="6" xr3:uid="{7D4AB508-784F-4B66-989F-E39D56BBCAFB}" name="# of CN Servings per case" dataDxfId="68"/>
    <tableColumn id="7" xr3:uid="{89EF7014-FAE9-45BB-955A-2DB8D40D7984}" name="Estimated Servings Annual" dataDxfId="67" dataCellStyle="Comma"/>
    <tableColumn id="8" xr3:uid="{BC09E79D-0A7D-4F62-9A42-7E4C50CCE33A}" name="USDA Material Code" dataDxfId="66"/>
    <tableColumn id="9" xr3:uid="{3AFD1EA1-1C08-472D-8084-E060836A9F79}" name="Pounds of DF Needed per Case (#)" dataDxfId="65"/>
    <tableColumn id="10" xr3:uid="{D726AA21-D5D8-4C49-BCC1-FBFAAB1CF84C}" name="Pass-Thru Value per case ($)" dataDxfId="64"/>
    <tableColumn id="11" xr3:uid="{670EAEA3-DFD9-4E22-B7EE-49BDDB497A81}" name="Commercial Bid Price per case for NOI ($)" dataDxfId="63"/>
    <tableColumn id="20" xr3:uid="{DF4CDDDC-3927-47AB-980F-350C5B488A62}" name="Region 1: Fixed Fee Per Case ($)" dataDxfId="62"/>
    <tableColumn id="12" xr3:uid="{D1AE6CB2-C862-4BB1-84B8-3F6F07551D70}" name="Region 2: Fixed Fee Per Case ($)" dataDxfId="61"/>
    <tableColumn id="16" xr3:uid="{02621EA8-76A0-4164-A028-6EA9296CB13A}" name="Special Order Item? (Y/N)" dataDxfId="60"/>
    <tableColumn id="18" xr3:uid="{96EDE736-CD80-4BE4-8020-193E9118EDE6}" name="NOI Net Cost Per Case (O-N)+P" dataDxfId="59" dataCellStyle="Currency">
      <calculatedColumnFormula>(Table1438910[[#This Row],[Commercial Bid Price per case for NOI ($)]]-Table1438910[[#This Row],[Pass-Thru Value per case ($)]])+Table1438910[[#This Row],[Region 1: Fixed Fee Per Case ($)]]</calculatedColumnFormula>
    </tableColumn>
    <tableColumn id="13" xr3:uid="{550275F2-7AD2-4D3E-A54A-0A4F5427C92A}" name="Total Cost Per Serving (O+P)/J" dataDxfId="58" dataCellStyle="Currency">
      <calculatedColumnFormula>(Table1438910[[#This Row],[Commercial Bid Price per case for NOI ($)]]+Table1438910[[#This Row],[Region 1: Fixed Fee Per Case ($)]])/Table1438910[[#This Row],['# of CN Servings per case]]</calculatedColumnFormula>
    </tableColumn>
    <tableColumn id="14" xr3:uid="{AFC3989D-1419-4DD2-863A-32E38D525EE1}" name="Total Cost Per Year (T*K)" dataDxfId="57" dataCellStyle="Currency">
      <calculatedColumnFormula>Table1438910[[#This Row],[Total Cost Per Serving (O+P)/J]]*Table1438910[[#This Row],[Estimated Servings Annual]]</calculatedColumnFormula>
    </tableColumn>
    <tableColumn id="21" xr3:uid="{9EEA2B93-5D39-446F-96DB-22B060413703}" name="NOI Net Cost Per Case (O-N)+Q" dataDxfId="56" dataCellStyle="Currency">
      <calculatedColumnFormula>(Table1438910[[#This Row],[Commercial Bid Price per case for NOI ($)]]-Table1438910[[#This Row],[Pass-Thru Value per case ($)]])+Table1438910[[#This Row],[Region 2: Fixed Fee Per Case ($)]]</calculatedColumnFormula>
    </tableColumn>
    <tableColumn id="22" xr3:uid="{82B8B912-B093-47CB-9E0B-EE6FEB6DC49D}" name="Total Cost Per Serving (O+Q)/J" dataDxfId="55" dataCellStyle="Currency">
      <calculatedColumnFormula>(Table1438910[[#This Row],[Commercial Bid Price per case for NOI ($)]]+Table1438910[[#This Row],[Region 2: Fixed Fee Per Case ($)]])/Table1438910[[#This Row],['# of CN Servings per case]]</calculatedColumnFormula>
    </tableColumn>
    <tableColumn id="23" xr3:uid="{B7D06819-C28A-400C-9387-0C2217B9D1B1}" name="Total Cost Per Year (W*K)" dataDxfId="54" dataCellStyle="Currency">
      <calculatedColumnFormula>Table1438910[[#This Row],[Total Cost Per Serving (O+Q)/J]]*Table1438910[[#This Row],[Estimated Servings Annual]]</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8"/>
  <sheetViews>
    <sheetView tabSelected="1" workbookViewId="0">
      <selection activeCell="A14" sqref="A14"/>
    </sheetView>
  </sheetViews>
  <sheetFormatPr defaultRowHeight="14.5" x14ac:dyDescent="0.35"/>
  <cols>
    <col min="1" max="1" width="109.54296875" style="61" customWidth="1"/>
    <col min="2" max="16384" width="8.7265625" style="9"/>
  </cols>
  <sheetData>
    <row r="1" spans="1:1" ht="15" thickBot="1" x14ac:dyDescent="0.4">
      <c r="A1" s="59" t="s">
        <v>74</v>
      </c>
    </row>
    <row r="2" spans="1:1" ht="15" thickBot="1" x14ac:dyDescent="0.4">
      <c r="A2" s="14"/>
    </row>
    <row r="3" spans="1:1" x14ac:dyDescent="0.35">
      <c r="A3" s="59" t="s">
        <v>75</v>
      </c>
    </row>
    <row r="5" spans="1:1" x14ac:dyDescent="0.35">
      <c r="A5" s="60" t="s">
        <v>42</v>
      </c>
    </row>
    <row r="6" spans="1:1" x14ac:dyDescent="0.35">
      <c r="A6" s="61" t="s">
        <v>148</v>
      </c>
    </row>
    <row r="7" spans="1:1" x14ac:dyDescent="0.35">
      <c r="A7" s="61" t="s">
        <v>76</v>
      </c>
    </row>
    <row r="8" spans="1:1" x14ac:dyDescent="0.35">
      <c r="A8" s="61" t="s">
        <v>68</v>
      </c>
    </row>
    <row r="10" spans="1:1" x14ac:dyDescent="0.35">
      <c r="A10" s="60" t="s">
        <v>62</v>
      </c>
    </row>
    <row r="11" spans="1:1" ht="72.5" x14ac:dyDescent="0.35">
      <c r="A11" s="60" t="s">
        <v>196</v>
      </c>
    </row>
    <row r="12" spans="1:1" x14ac:dyDescent="0.35">
      <c r="A12" s="60"/>
    </row>
    <row r="13" spans="1:1" ht="29" x14ac:dyDescent="0.35">
      <c r="A13" s="62" t="s">
        <v>67</v>
      </c>
    </row>
    <row r="14" spans="1:1" ht="29" x14ac:dyDescent="0.35">
      <c r="A14" s="62" t="s">
        <v>156</v>
      </c>
    </row>
    <row r="15" spans="1:1" x14ac:dyDescent="0.35">
      <c r="A15" s="61" t="s">
        <v>183</v>
      </c>
    </row>
    <row r="16" spans="1:1" x14ac:dyDescent="0.35">
      <c r="A16" s="61" t="s">
        <v>184</v>
      </c>
    </row>
    <row r="17" spans="1:1" x14ac:dyDescent="0.35">
      <c r="A17" s="61" t="s">
        <v>185</v>
      </c>
    </row>
    <row r="18" spans="1:1" x14ac:dyDescent="0.35">
      <c r="A18" s="61" t="s">
        <v>186</v>
      </c>
    </row>
    <row r="19" spans="1:1" x14ac:dyDescent="0.35">
      <c r="A19" s="61" t="s">
        <v>187</v>
      </c>
    </row>
    <row r="20" spans="1:1" x14ac:dyDescent="0.35">
      <c r="A20" s="61" t="s">
        <v>188</v>
      </c>
    </row>
    <row r="21" spans="1:1" x14ac:dyDescent="0.35">
      <c r="A21" s="61" t="s">
        <v>189</v>
      </c>
    </row>
    <row r="22" spans="1:1" x14ac:dyDescent="0.35">
      <c r="A22" s="61" t="s">
        <v>190</v>
      </c>
    </row>
    <row r="23" spans="1:1" x14ac:dyDescent="0.35">
      <c r="A23" s="61" t="s">
        <v>191</v>
      </c>
    </row>
    <row r="24" spans="1:1" x14ac:dyDescent="0.35">
      <c r="A24" s="61" t="s">
        <v>192</v>
      </c>
    </row>
    <row r="25" spans="1:1" x14ac:dyDescent="0.35">
      <c r="A25" s="62" t="s">
        <v>193</v>
      </c>
    </row>
    <row r="26" spans="1:1" x14ac:dyDescent="0.35">
      <c r="A26" s="62" t="s">
        <v>194</v>
      </c>
    </row>
    <row r="27" spans="1:1" x14ac:dyDescent="0.35">
      <c r="A27" s="61" t="s">
        <v>195</v>
      </c>
    </row>
    <row r="28" spans="1:1" x14ac:dyDescent="0.35">
      <c r="A28" s="61" t="s">
        <v>43</v>
      </c>
    </row>
  </sheetData>
  <sheetProtection algorithmName="SHA-512" hashValue="6Bc9L6Wm/8pM6Y1A0EsgnZ8BOqDI5CNfVzgjtMptu1ouY6PLgisMrJ2QbV5mhlouM+geV1fn35p2MZggrFU2Hw==" saltValue="aBfg4GIYL00N6l1HLhM4KA==" spinCount="100000" sheet="1" objects="1" scenarios="1" formatCells="0" formatColumns="0" insertRows="0"/>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3D2DC-0199-40F1-87C7-1205FB0423FC}">
  <sheetPr codeName="Sheet10"/>
  <dimension ref="A1:X34"/>
  <sheetViews>
    <sheetView workbookViewId="0">
      <pane xSplit="3" ySplit="2" topLeftCell="D5" activePane="bottomRight" state="frozen"/>
      <selection activeCell="A24" sqref="A24"/>
      <selection pane="topRight" activeCell="A24" sqref="A24"/>
      <selection pane="bottomLeft" activeCell="A24" sqref="A24"/>
      <selection pane="bottomRight" activeCell="A24" sqref="A24"/>
    </sheetView>
  </sheetViews>
  <sheetFormatPr defaultColWidth="11" defaultRowHeight="14.5" x14ac:dyDescent="0.35"/>
  <cols>
    <col min="1" max="1" width="12.81640625" style="9" bestFit="1" customWidth="1"/>
    <col min="2" max="2" width="26" style="9" bestFit="1" customWidth="1"/>
    <col min="3" max="3" width="18.6328125" style="9" bestFit="1" customWidth="1"/>
    <col min="4" max="4" width="20.81640625" style="9" bestFit="1" customWidth="1"/>
    <col min="5" max="5" width="26.26953125" style="9" bestFit="1" customWidth="1"/>
    <col min="6" max="6" width="12.90625" style="9" bestFit="1" customWidth="1"/>
    <col min="7" max="7" width="15" style="9" bestFit="1" customWidth="1"/>
    <col min="8" max="8" width="14.54296875" style="9" bestFit="1" customWidth="1"/>
    <col min="9" max="9" width="9.54296875" style="9" bestFit="1" customWidth="1"/>
    <col min="10" max="10" width="13.6328125" style="63" bestFit="1" customWidth="1"/>
    <col min="11" max="11" width="11.7265625" style="9" bestFit="1" customWidth="1"/>
    <col min="12" max="12" width="10.453125" style="9" bestFit="1" customWidth="1"/>
    <col min="13" max="13" width="14.26953125" style="9" bestFit="1" customWidth="1"/>
    <col min="14" max="14" width="11.453125" style="9" bestFit="1" customWidth="1"/>
    <col min="15" max="15" width="17.81640625" style="9" bestFit="1" customWidth="1"/>
    <col min="16" max="17" width="16.90625" style="9" bestFit="1" customWidth="1"/>
    <col min="18" max="18" width="14.54296875" style="9" bestFit="1" customWidth="1"/>
    <col min="19" max="19" width="14.1796875" style="9" bestFit="1" customWidth="1"/>
    <col min="20" max="20" width="16.36328125" style="9" bestFit="1" customWidth="1"/>
    <col min="21" max="21" width="11.54296875" style="9" bestFit="1" customWidth="1"/>
    <col min="22" max="22" width="14.1796875" style="9" bestFit="1" customWidth="1"/>
    <col min="23" max="23" width="16.6328125" style="9" bestFit="1" customWidth="1"/>
    <col min="24" max="24" width="11.54296875" style="9" bestFit="1" customWidth="1"/>
    <col min="25" max="16384" width="11" style="9"/>
  </cols>
  <sheetData>
    <row r="1" spans="1:24" x14ac:dyDescent="0.35">
      <c r="D1" s="10" t="s">
        <v>63</v>
      </c>
      <c r="E1" s="97">
        <f>Instructions!A2</f>
        <v>0</v>
      </c>
      <c r="F1" s="97"/>
      <c r="G1" s="97"/>
      <c r="S1" s="98" t="s">
        <v>72</v>
      </c>
      <c r="T1" s="99"/>
      <c r="U1" s="100"/>
      <c r="V1" s="101" t="s">
        <v>73</v>
      </c>
      <c r="W1" s="102"/>
      <c r="X1" s="102"/>
    </row>
    <row r="2" spans="1:24" s="10" customFormat="1" ht="58.5" thickBot="1" x14ac:dyDescent="0.4">
      <c r="A2" s="10" t="s">
        <v>14</v>
      </c>
      <c r="B2" s="10" t="s">
        <v>3</v>
      </c>
      <c r="C2" s="10" t="s">
        <v>23</v>
      </c>
      <c r="D2" s="10" t="s">
        <v>66</v>
      </c>
      <c r="E2" s="10" t="s">
        <v>182</v>
      </c>
      <c r="F2" s="10" t="s">
        <v>0</v>
      </c>
      <c r="G2" s="10" t="s">
        <v>4</v>
      </c>
      <c r="H2" s="10" t="s">
        <v>20</v>
      </c>
      <c r="I2" s="10" t="s">
        <v>1</v>
      </c>
      <c r="J2" s="10" t="s">
        <v>5</v>
      </c>
      <c r="K2" s="18" t="s">
        <v>6</v>
      </c>
      <c r="L2" s="10" t="s">
        <v>2</v>
      </c>
      <c r="M2" s="10" t="s">
        <v>21</v>
      </c>
      <c r="N2" s="10" t="s">
        <v>65</v>
      </c>
      <c r="O2" s="10" t="s">
        <v>22</v>
      </c>
      <c r="P2" s="10" t="s">
        <v>70</v>
      </c>
      <c r="Q2" s="10" t="s">
        <v>71</v>
      </c>
      <c r="R2" s="10" t="s">
        <v>19</v>
      </c>
      <c r="S2" s="64" t="s">
        <v>77</v>
      </c>
      <c r="T2" s="65" t="s">
        <v>79</v>
      </c>
      <c r="U2" s="66" t="s">
        <v>80</v>
      </c>
      <c r="V2" s="64" t="s">
        <v>78</v>
      </c>
      <c r="W2" s="65" t="s">
        <v>81</v>
      </c>
      <c r="X2" s="66" t="s">
        <v>82</v>
      </c>
    </row>
    <row r="3" spans="1:24" x14ac:dyDescent="0.35">
      <c r="A3" s="29" t="s">
        <v>38</v>
      </c>
      <c r="B3" s="42" t="s">
        <v>157</v>
      </c>
      <c r="C3" s="6" t="s">
        <v>26</v>
      </c>
      <c r="D3" s="6"/>
      <c r="E3" s="6"/>
      <c r="F3" s="6"/>
      <c r="G3" s="6"/>
      <c r="H3" s="6"/>
      <c r="I3" s="6"/>
      <c r="J3" s="6"/>
      <c r="K3" s="48">
        <v>525000</v>
      </c>
      <c r="L3" s="6"/>
      <c r="M3" s="6"/>
      <c r="N3" s="6"/>
      <c r="O3" s="6"/>
      <c r="P3" s="6"/>
      <c r="Q3" s="6"/>
      <c r="R3" s="6"/>
      <c r="S3" s="67">
        <f>(Table1438910[[#This Row],[Commercial Bid Price per case for NOI ($)]]-Table1438910[[#This Row],[Pass-Thru Value per case ($)]])+Table1438910[[#This Row],[Region 1: Fixed Fee Per Case ($)]]</f>
        <v>0</v>
      </c>
      <c r="T3" s="68" t="e">
        <f>(Table1438910[[#This Row],[Commercial Bid Price per case for NOI ($)]]+Table1438910[[#This Row],[Region 1: Fixed Fee Per Case ($)]])/Table1438910[[#This Row],['# of CN Servings per case]]</f>
        <v>#DIV/0!</v>
      </c>
      <c r="U3" s="68" t="e">
        <f>Table1438910[[#This Row],[Total Cost Per Serving (O+P)/J]]*Table1438910[[#This Row],[Estimated Servings Annual]]</f>
        <v>#DIV/0!</v>
      </c>
      <c r="V3" s="67">
        <f>(Table1438910[[#This Row],[Commercial Bid Price per case for NOI ($)]]-Table1438910[[#This Row],[Pass-Thru Value per case ($)]])+Table1438910[[#This Row],[Region 2: Fixed Fee Per Case ($)]]</f>
        <v>0</v>
      </c>
      <c r="W3" s="68" t="e">
        <f>(Table1438910[[#This Row],[Commercial Bid Price per case for NOI ($)]]+Table1438910[[#This Row],[Region 2: Fixed Fee Per Case ($)]])/Table1438910[[#This Row],['# of CN Servings per case]]</f>
        <v>#DIV/0!</v>
      </c>
      <c r="X3" s="69" t="e">
        <f>Table1438910[[#This Row],[Total Cost Per Serving (O+Q)/J]]*Table1438910[[#This Row],[Estimated Servings Annual]]</f>
        <v>#DIV/0!</v>
      </c>
    </row>
    <row r="4" spans="1:24" x14ac:dyDescent="0.35">
      <c r="A4" s="30" t="s">
        <v>38</v>
      </c>
      <c r="B4" s="28" t="s">
        <v>157</v>
      </c>
      <c r="C4" s="7" t="s">
        <v>26</v>
      </c>
      <c r="D4" s="7"/>
      <c r="E4" s="7"/>
      <c r="F4" s="7"/>
      <c r="G4" s="7"/>
      <c r="H4" s="7"/>
      <c r="I4" s="7"/>
      <c r="J4" s="7"/>
      <c r="K4" s="49">
        <v>525000</v>
      </c>
      <c r="L4" s="7"/>
      <c r="M4" s="7"/>
      <c r="N4" s="7"/>
      <c r="O4" s="7"/>
      <c r="P4" s="7"/>
      <c r="Q4" s="7"/>
      <c r="R4" s="7"/>
      <c r="S4" s="70">
        <f>(Table1438910[[#This Row],[Commercial Bid Price per case for NOI ($)]]-Table1438910[[#This Row],[Pass-Thru Value per case ($)]])+Table1438910[[#This Row],[Region 1: Fixed Fee Per Case ($)]]</f>
        <v>0</v>
      </c>
      <c r="T4" s="71" t="e">
        <f>(Table1438910[[#This Row],[Commercial Bid Price per case for NOI ($)]]+Table1438910[[#This Row],[Region 1: Fixed Fee Per Case ($)]])/Table1438910[[#This Row],['# of CN Servings per case]]</f>
        <v>#DIV/0!</v>
      </c>
      <c r="U4" s="71" t="e">
        <f>Table1438910[[#This Row],[Total Cost Per Serving (O+P)/J]]*Table1438910[[#This Row],[Estimated Servings Annual]]</f>
        <v>#DIV/0!</v>
      </c>
      <c r="V4" s="70">
        <f>(Table1438910[[#This Row],[Commercial Bid Price per case for NOI ($)]]-Table1438910[[#This Row],[Pass-Thru Value per case ($)]])+Table1438910[[#This Row],[Region 2: Fixed Fee Per Case ($)]]</f>
        <v>0</v>
      </c>
      <c r="W4" s="71" t="e">
        <f>(Table1438910[[#This Row],[Commercial Bid Price per case for NOI ($)]]+Table1438910[[#This Row],[Region 2: Fixed Fee Per Case ($)]])/Table1438910[[#This Row],['# of CN Servings per case]]</f>
        <v>#DIV/0!</v>
      </c>
      <c r="X4" s="72" t="e">
        <f>Table1438910[[#This Row],[Total Cost Per Serving (O+Q)/J]]*Table1438910[[#This Row],[Estimated Servings Annual]]</f>
        <v>#DIV/0!</v>
      </c>
    </row>
    <row r="5" spans="1:24" x14ac:dyDescent="0.35">
      <c r="A5" s="30" t="s">
        <v>38</v>
      </c>
      <c r="B5" s="28" t="s">
        <v>157</v>
      </c>
      <c r="C5" s="7" t="s">
        <v>24</v>
      </c>
      <c r="D5" s="7"/>
      <c r="E5" s="7"/>
      <c r="F5" s="7"/>
      <c r="G5" s="7"/>
      <c r="H5" s="7"/>
      <c r="I5" s="7"/>
      <c r="J5" s="7"/>
      <c r="K5" s="49">
        <v>525000</v>
      </c>
      <c r="L5" s="7"/>
      <c r="M5" s="7"/>
      <c r="N5" s="7"/>
      <c r="O5" s="7"/>
      <c r="P5" s="7"/>
      <c r="Q5" s="7"/>
      <c r="R5" s="7"/>
      <c r="S5" s="70">
        <f>(Table1438910[[#This Row],[Commercial Bid Price per case for NOI ($)]]-Table1438910[[#This Row],[Pass-Thru Value per case ($)]])+Table1438910[[#This Row],[Region 1: Fixed Fee Per Case ($)]]</f>
        <v>0</v>
      </c>
      <c r="T5" s="71" t="e">
        <f>(Table1438910[[#This Row],[Commercial Bid Price per case for NOI ($)]]+Table1438910[[#This Row],[Region 1: Fixed Fee Per Case ($)]])/Table1438910[[#This Row],['# of CN Servings per case]]</f>
        <v>#DIV/0!</v>
      </c>
      <c r="U5" s="71" t="e">
        <f>Table1438910[[#This Row],[Total Cost Per Serving (O+P)/J]]*Table1438910[[#This Row],[Estimated Servings Annual]]</f>
        <v>#DIV/0!</v>
      </c>
      <c r="V5" s="70">
        <f>(Table1438910[[#This Row],[Commercial Bid Price per case for NOI ($)]]-Table1438910[[#This Row],[Pass-Thru Value per case ($)]])+Table1438910[[#This Row],[Region 2: Fixed Fee Per Case ($)]]</f>
        <v>0</v>
      </c>
      <c r="W5" s="71" t="e">
        <f>(Table1438910[[#This Row],[Commercial Bid Price per case for NOI ($)]]+Table1438910[[#This Row],[Region 2: Fixed Fee Per Case ($)]])/Table1438910[[#This Row],['# of CN Servings per case]]</f>
        <v>#DIV/0!</v>
      </c>
      <c r="X5" s="72" t="e">
        <f>Table1438910[[#This Row],[Total Cost Per Serving (O+Q)/J]]*Table1438910[[#This Row],[Estimated Servings Annual]]</f>
        <v>#DIV/0!</v>
      </c>
    </row>
    <row r="6" spans="1:24" x14ac:dyDescent="0.35">
      <c r="A6" s="30" t="s">
        <v>38</v>
      </c>
      <c r="B6" s="28" t="s">
        <v>157</v>
      </c>
      <c r="C6" s="7" t="s">
        <v>24</v>
      </c>
      <c r="D6" s="7"/>
      <c r="E6" s="7"/>
      <c r="F6" s="7"/>
      <c r="G6" s="7"/>
      <c r="H6" s="7"/>
      <c r="I6" s="7"/>
      <c r="J6" s="7"/>
      <c r="K6" s="49">
        <v>525000</v>
      </c>
      <c r="L6" s="7"/>
      <c r="M6" s="7"/>
      <c r="N6" s="7"/>
      <c r="O6" s="7"/>
      <c r="P6" s="7"/>
      <c r="Q6" s="7"/>
      <c r="R6" s="7"/>
      <c r="S6" s="70">
        <f>(Table1438910[[#This Row],[Commercial Bid Price per case for NOI ($)]]-Table1438910[[#This Row],[Pass-Thru Value per case ($)]])+Table1438910[[#This Row],[Region 1: Fixed Fee Per Case ($)]]</f>
        <v>0</v>
      </c>
      <c r="T6" s="71" t="e">
        <f>(Table1438910[[#This Row],[Commercial Bid Price per case for NOI ($)]]+Table1438910[[#This Row],[Region 1: Fixed Fee Per Case ($)]])/Table1438910[[#This Row],['# of CN Servings per case]]</f>
        <v>#DIV/0!</v>
      </c>
      <c r="U6" s="71" t="e">
        <f>Table1438910[[#This Row],[Total Cost Per Serving (O+P)/J]]*Table1438910[[#This Row],[Estimated Servings Annual]]</f>
        <v>#DIV/0!</v>
      </c>
      <c r="V6" s="70">
        <f>(Table1438910[[#This Row],[Commercial Bid Price per case for NOI ($)]]-Table1438910[[#This Row],[Pass-Thru Value per case ($)]])+Table1438910[[#This Row],[Region 2: Fixed Fee Per Case ($)]]</f>
        <v>0</v>
      </c>
      <c r="W6" s="71" t="e">
        <f>(Table1438910[[#This Row],[Commercial Bid Price per case for NOI ($)]]+Table1438910[[#This Row],[Region 2: Fixed Fee Per Case ($)]])/Table1438910[[#This Row],['# of CN Servings per case]]</f>
        <v>#DIV/0!</v>
      </c>
      <c r="X6" s="72" t="e">
        <f>Table1438910[[#This Row],[Total Cost Per Serving (O+Q)/J]]*Table1438910[[#This Row],[Estimated Servings Annual]]</f>
        <v>#DIV/0!</v>
      </c>
    </row>
    <row r="7" spans="1:24" x14ac:dyDescent="0.35">
      <c r="A7" s="30" t="s">
        <v>38</v>
      </c>
      <c r="B7" s="28" t="s">
        <v>157</v>
      </c>
      <c r="C7" s="7" t="s">
        <v>13</v>
      </c>
      <c r="D7" s="7"/>
      <c r="E7" s="7"/>
      <c r="F7" s="7"/>
      <c r="G7" s="7"/>
      <c r="H7" s="7"/>
      <c r="I7" s="7"/>
      <c r="J7" s="7"/>
      <c r="K7" s="49">
        <v>525000</v>
      </c>
      <c r="L7" s="7"/>
      <c r="M7" s="7"/>
      <c r="N7" s="7"/>
      <c r="O7" s="7"/>
      <c r="P7" s="7"/>
      <c r="Q7" s="7"/>
      <c r="R7" s="7"/>
      <c r="S7" s="70">
        <f>(Table1438910[[#This Row],[Commercial Bid Price per case for NOI ($)]]-Table1438910[[#This Row],[Pass-Thru Value per case ($)]])+Table1438910[[#This Row],[Region 1: Fixed Fee Per Case ($)]]</f>
        <v>0</v>
      </c>
      <c r="T7" s="71" t="e">
        <f>(Table1438910[[#This Row],[Commercial Bid Price per case for NOI ($)]]+Table1438910[[#This Row],[Region 1: Fixed Fee Per Case ($)]])/Table1438910[[#This Row],['# of CN Servings per case]]</f>
        <v>#DIV/0!</v>
      </c>
      <c r="U7" s="71" t="e">
        <f>Table1438910[[#This Row],[Total Cost Per Serving (O+P)/J]]*Table1438910[[#This Row],[Estimated Servings Annual]]</f>
        <v>#DIV/0!</v>
      </c>
      <c r="V7" s="70">
        <f>(Table1438910[[#This Row],[Commercial Bid Price per case for NOI ($)]]-Table1438910[[#This Row],[Pass-Thru Value per case ($)]])+Table1438910[[#This Row],[Region 2: Fixed Fee Per Case ($)]]</f>
        <v>0</v>
      </c>
      <c r="W7" s="71" t="e">
        <f>(Table1438910[[#This Row],[Commercial Bid Price per case for NOI ($)]]+Table1438910[[#This Row],[Region 2: Fixed Fee Per Case ($)]])/Table1438910[[#This Row],['# of CN Servings per case]]</f>
        <v>#DIV/0!</v>
      </c>
      <c r="X7" s="72" t="e">
        <f>Table1438910[[#This Row],[Total Cost Per Serving (O+Q)/J]]*Table1438910[[#This Row],[Estimated Servings Annual]]</f>
        <v>#DIV/0!</v>
      </c>
    </row>
    <row r="8" spans="1:24" x14ac:dyDescent="0.35">
      <c r="A8" s="30" t="s">
        <v>38</v>
      </c>
      <c r="B8" s="28" t="s">
        <v>157</v>
      </c>
      <c r="C8" s="7" t="s">
        <v>13</v>
      </c>
      <c r="D8" s="7"/>
      <c r="E8" s="7"/>
      <c r="F8" s="7"/>
      <c r="G8" s="7"/>
      <c r="H8" s="7"/>
      <c r="I8" s="7"/>
      <c r="J8" s="7"/>
      <c r="K8" s="49">
        <v>525000</v>
      </c>
      <c r="L8" s="7"/>
      <c r="M8" s="7"/>
      <c r="N8" s="7"/>
      <c r="O8" s="7"/>
      <c r="P8" s="7"/>
      <c r="Q8" s="7"/>
      <c r="R8" s="7"/>
      <c r="S8" s="70">
        <f>(Table1438910[[#This Row],[Commercial Bid Price per case for NOI ($)]]-Table1438910[[#This Row],[Pass-Thru Value per case ($)]])+Table1438910[[#This Row],[Region 1: Fixed Fee Per Case ($)]]</f>
        <v>0</v>
      </c>
      <c r="T8" s="71" t="e">
        <f>(Table1438910[[#This Row],[Commercial Bid Price per case for NOI ($)]]+Table1438910[[#This Row],[Region 1: Fixed Fee Per Case ($)]])/Table1438910[[#This Row],['# of CN Servings per case]]</f>
        <v>#DIV/0!</v>
      </c>
      <c r="U8" s="71" t="e">
        <f>Table1438910[[#This Row],[Total Cost Per Serving (O+P)/J]]*Table1438910[[#This Row],[Estimated Servings Annual]]</f>
        <v>#DIV/0!</v>
      </c>
      <c r="V8" s="70">
        <f>(Table1438910[[#This Row],[Commercial Bid Price per case for NOI ($)]]-Table1438910[[#This Row],[Pass-Thru Value per case ($)]])+Table1438910[[#This Row],[Region 2: Fixed Fee Per Case ($)]]</f>
        <v>0</v>
      </c>
      <c r="W8" s="71" t="e">
        <f>(Table1438910[[#This Row],[Commercial Bid Price per case for NOI ($)]]+Table1438910[[#This Row],[Region 2: Fixed Fee Per Case ($)]])/Table1438910[[#This Row],['# of CN Servings per case]]</f>
        <v>#DIV/0!</v>
      </c>
      <c r="X8" s="72" t="e">
        <f>Table1438910[[#This Row],[Total Cost Per Serving (O+Q)/J]]*Table1438910[[#This Row],[Estimated Servings Annual]]</f>
        <v>#DIV/0!</v>
      </c>
    </row>
    <row r="9" spans="1:24" x14ac:dyDescent="0.35">
      <c r="A9" s="30" t="s">
        <v>38</v>
      </c>
      <c r="B9" s="28" t="s">
        <v>157</v>
      </c>
      <c r="C9" s="7" t="s">
        <v>13</v>
      </c>
      <c r="D9" s="7"/>
      <c r="E9" s="7"/>
      <c r="F9" s="7"/>
      <c r="G9" s="7"/>
      <c r="H9" s="7"/>
      <c r="I9" s="7"/>
      <c r="J9" s="7"/>
      <c r="K9" s="49">
        <v>525000</v>
      </c>
      <c r="L9" s="7"/>
      <c r="M9" s="7"/>
      <c r="N9" s="7"/>
      <c r="O9" s="7"/>
      <c r="P9" s="7"/>
      <c r="Q9" s="7"/>
      <c r="R9" s="7"/>
      <c r="S9" s="70">
        <f>(Table1438910[[#This Row],[Commercial Bid Price per case for NOI ($)]]-Table1438910[[#This Row],[Pass-Thru Value per case ($)]])+Table1438910[[#This Row],[Region 1: Fixed Fee Per Case ($)]]</f>
        <v>0</v>
      </c>
      <c r="T9" s="71" t="e">
        <f>(Table1438910[[#This Row],[Commercial Bid Price per case for NOI ($)]]+Table1438910[[#This Row],[Region 1: Fixed Fee Per Case ($)]])/Table1438910[[#This Row],['# of CN Servings per case]]</f>
        <v>#DIV/0!</v>
      </c>
      <c r="U9" s="71" t="e">
        <f>Table1438910[[#This Row],[Total Cost Per Serving (O+P)/J]]*Table1438910[[#This Row],[Estimated Servings Annual]]</f>
        <v>#DIV/0!</v>
      </c>
      <c r="V9" s="70">
        <f>(Table1438910[[#This Row],[Commercial Bid Price per case for NOI ($)]]-Table1438910[[#This Row],[Pass-Thru Value per case ($)]])+Table1438910[[#This Row],[Region 2: Fixed Fee Per Case ($)]]</f>
        <v>0</v>
      </c>
      <c r="W9" s="71" t="e">
        <f>(Table1438910[[#This Row],[Commercial Bid Price per case for NOI ($)]]+Table1438910[[#This Row],[Region 2: Fixed Fee Per Case ($)]])/Table1438910[[#This Row],['# of CN Servings per case]]</f>
        <v>#DIV/0!</v>
      </c>
      <c r="X9" s="72" t="e">
        <f>Table1438910[[#This Row],[Total Cost Per Serving (O+Q)/J]]*Table1438910[[#This Row],[Estimated Servings Annual]]</f>
        <v>#DIV/0!</v>
      </c>
    </row>
    <row r="10" spans="1:24" ht="15" thickBot="1" x14ac:dyDescent="0.4">
      <c r="A10" s="30" t="s">
        <v>38</v>
      </c>
      <c r="B10" s="28" t="s">
        <v>157</v>
      </c>
      <c r="C10" s="8" t="s">
        <v>13</v>
      </c>
      <c r="D10" s="8"/>
      <c r="E10" s="8"/>
      <c r="F10" s="8"/>
      <c r="G10" s="8"/>
      <c r="H10" s="8"/>
      <c r="I10" s="8"/>
      <c r="J10" s="8"/>
      <c r="K10" s="49">
        <v>525000</v>
      </c>
      <c r="L10" s="8"/>
      <c r="M10" s="8"/>
      <c r="N10" s="8"/>
      <c r="O10" s="8"/>
      <c r="P10" s="8"/>
      <c r="Q10" s="8"/>
      <c r="R10" s="8"/>
      <c r="S10" s="73">
        <f>(Table1438910[[#This Row],[Commercial Bid Price per case for NOI ($)]]-Table1438910[[#This Row],[Pass-Thru Value per case ($)]])+Table1438910[[#This Row],[Region 1: Fixed Fee Per Case ($)]]</f>
        <v>0</v>
      </c>
      <c r="T10" s="74" t="e">
        <f>(Table1438910[[#This Row],[Commercial Bid Price per case for NOI ($)]]+Table1438910[[#This Row],[Region 1: Fixed Fee Per Case ($)]])/Table1438910[[#This Row],['# of CN Servings per case]]</f>
        <v>#DIV/0!</v>
      </c>
      <c r="U10" s="74" t="e">
        <f>Table1438910[[#This Row],[Total Cost Per Serving (O+P)/J]]*Table1438910[[#This Row],[Estimated Servings Annual]]</f>
        <v>#DIV/0!</v>
      </c>
      <c r="V10" s="73">
        <f>(Table1438910[[#This Row],[Commercial Bid Price per case for NOI ($)]]-Table1438910[[#This Row],[Pass-Thru Value per case ($)]])+Table1438910[[#This Row],[Region 2: Fixed Fee Per Case ($)]]</f>
        <v>0</v>
      </c>
      <c r="W10" s="74" t="e">
        <f>(Table1438910[[#This Row],[Commercial Bid Price per case for NOI ($)]]+Table1438910[[#This Row],[Region 2: Fixed Fee Per Case ($)]])/Table1438910[[#This Row],['# of CN Servings per case]]</f>
        <v>#DIV/0!</v>
      </c>
      <c r="X10" s="75" t="e">
        <f>Table1438910[[#This Row],[Total Cost Per Serving (O+Q)/J]]*Table1438910[[#This Row],[Estimated Servings Annual]]</f>
        <v>#DIV/0!</v>
      </c>
    </row>
    <row r="11" spans="1:24" x14ac:dyDescent="0.35">
      <c r="A11" s="30" t="s">
        <v>38</v>
      </c>
      <c r="B11" s="42" t="s">
        <v>158</v>
      </c>
      <c r="C11" s="6" t="s">
        <v>26</v>
      </c>
      <c r="D11" s="6"/>
      <c r="E11" s="6"/>
      <c r="F11" s="6"/>
      <c r="G11" s="6"/>
      <c r="H11" s="6"/>
      <c r="I11" s="6"/>
      <c r="J11" s="6"/>
      <c r="K11" s="48">
        <v>250000</v>
      </c>
      <c r="L11" s="6"/>
      <c r="M11" s="6"/>
      <c r="N11" s="6"/>
      <c r="O11" s="6"/>
      <c r="P11" s="6"/>
      <c r="Q11" s="6"/>
      <c r="R11" s="6"/>
      <c r="S11" s="67">
        <f>(Table1438910[[#This Row],[Commercial Bid Price per case for NOI ($)]]-Table1438910[[#This Row],[Pass-Thru Value per case ($)]])+Table1438910[[#This Row],[Region 1: Fixed Fee Per Case ($)]]</f>
        <v>0</v>
      </c>
      <c r="T11" s="68" t="e">
        <f>(Table1438910[[#This Row],[Commercial Bid Price per case for NOI ($)]]+Table1438910[[#This Row],[Region 1: Fixed Fee Per Case ($)]])/Table1438910[[#This Row],['# of CN Servings per case]]</f>
        <v>#DIV/0!</v>
      </c>
      <c r="U11" s="68" t="e">
        <f>Table1438910[[#This Row],[Total Cost Per Serving (O+P)/J]]*Table1438910[[#This Row],[Estimated Servings Annual]]</f>
        <v>#DIV/0!</v>
      </c>
      <c r="V11" s="67">
        <f>(Table1438910[[#This Row],[Commercial Bid Price per case for NOI ($)]]-Table1438910[[#This Row],[Pass-Thru Value per case ($)]])+Table1438910[[#This Row],[Region 2: Fixed Fee Per Case ($)]]</f>
        <v>0</v>
      </c>
      <c r="W11" s="68" t="e">
        <f>(Table1438910[[#This Row],[Commercial Bid Price per case for NOI ($)]]+Table1438910[[#This Row],[Region 2: Fixed Fee Per Case ($)]])/Table1438910[[#This Row],['# of CN Servings per case]]</f>
        <v>#DIV/0!</v>
      </c>
      <c r="X11" s="69" t="e">
        <f>Table1438910[[#This Row],[Total Cost Per Serving (O+Q)/J]]*Table1438910[[#This Row],[Estimated Servings Annual]]</f>
        <v>#DIV/0!</v>
      </c>
    </row>
    <row r="12" spans="1:24" x14ac:dyDescent="0.35">
      <c r="A12" s="30" t="s">
        <v>38</v>
      </c>
      <c r="B12" s="28" t="s">
        <v>158</v>
      </c>
      <c r="C12" s="7" t="s">
        <v>26</v>
      </c>
      <c r="D12" s="7"/>
      <c r="E12" s="7"/>
      <c r="F12" s="7"/>
      <c r="G12" s="7"/>
      <c r="H12" s="7"/>
      <c r="I12" s="7"/>
      <c r="J12" s="7"/>
      <c r="K12" s="49">
        <v>250000</v>
      </c>
      <c r="L12" s="7"/>
      <c r="M12" s="7"/>
      <c r="N12" s="7"/>
      <c r="O12" s="7"/>
      <c r="P12" s="7"/>
      <c r="Q12" s="7"/>
      <c r="R12" s="7"/>
      <c r="S12" s="70">
        <f>(Table1438910[[#This Row],[Commercial Bid Price per case for NOI ($)]]-Table1438910[[#This Row],[Pass-Thru Value per case ($)]])+Table1438910[[#This Row],[Region 1: Fixed Fee Per Case ($)]]</f>
        <v>0</v>
      </c>
      <c r="T12" s="71" t="e">
        <f>(Table1438910[[#This Row],[Commercial Bid Price per case for NOI ($)]]+Table1438910[[#This Row],[Region 1: Fixed Fee Per Case ($)]])/Table1438910[[#This Row],['# of CN Servings per case]]</f>
        <v>#DIV/0!</v>
      </c>
      <c r="U12" s="71" t="e">
        <f>Table1438910[[#This Row],[Total Cost Per Serving (O+P)/J]]*Table1438910[[#This Row],[Estimated Servings Annual]]</f>
        <v>#DIV/0!</v>
      </c>
      <c r="V12" s="70">
        <f>(Table1438910[[#This Row],[Commercial Bid Price per case for NOI ($)]]-Table1438910[[#This Row],[Pass-Thru Value per case ($)]])+Table1438910[[#This Row],[Region 2: Fixed Fee Per Case ($)]]</f>
        <v>0</v>
      </c>
      <c r="W12" s="71" t="e">
        <f>(Table1438910[[#This Row],[Commercial Bid Price per case for NOI ($)]]+Table1438910[[#This Row],[Region 2: Fixed Fee Per Case ($)]])/Table1438910[[#This Row],['# of CN Servings per case]]</f>
        <v>#DIV/0!</v>
      </c>
      <c r="X12" s="72" t="e">
        <f>Table1438910[[#This Row],[Total Cost Per Serving (O+Q)/J]]*Table1438910[[#This Row],[Estimated Servings Annual]]</f>
        <v>#DIV/0!</v>
      </c>
    </row>
    <row r="13" spans="1:24" x14ac:dyDescent="0.35">
      <c r="A13" s="30" t="s">
        <v>38</v>
      </c>
      <c r="B13" s="28" t="s">
        <v>158</v>
      </c>
      <c r="C13" s="7" t="s">
        <v>24</v>
      </c>
      <c r="D13" s="7"/>
      <c r="E13" s="7"/>
      <c r="F13" s="7"/>
      <c r="G13" s="7"/>
      <c r="H13" s="7"/>
      <c r="I13" s="7"/>
      <c r="J13" s="7"/>
      <c r="K13" s="49">
        <v>250000</v>
      </c>
      <c r="L13" s="7"/>
      <c r="M13" s="7"/>
      <c r="N13" s="7"/>
      <c r="O13" s="7"/>
      <c r="P13" s="7"/>
      <c r="Q13" s="7"/>
      <c r="R13" s="7"/>
      <c r="S13" s="70">
        <f>(Table1438910[[#This Row],[Commercial Bid Price per case for NOI ($)]]-Table1438910[[#This Row],[Pass-Thru Value per case ($)]])+Table1438910[[#This Row],[Region 1: Fixed Fee Per Case ($)]]</f>
        <v>0</v>
      </c>
      <c r="T13" s="71" t="e">
        <f>(Table1438910[[#This Row],[Commercial Bid Price per case for NOI ($)]]+Table1438910[[#This Row],[Region 1: Fixed Fee Per Case ($)]])/Table1438910[[#This Row],['# of CN Servings per case]]</f>
        <v>#DIV/0!</v>
      </c>
      <c r="U13" s="71" t="e">
        <f>Table1438910[[#This Row],[Total Cost Per Serving (O+P)/J]]*Table1438910[[#This Row],[Estimated Servings Annual]]</f>
        <v>#DIV/0!</v>
      </c>
      <c r="V13" s="70">
        <f>(Table1438910[[#This Row],[Commercial Bid Price per case for NOI ($)]]-Table1438910[[#This Row],[Pass-Thru Value per case ($)]])+Table1438910[[#This Row],[Region 2: Fixed Fee Per Case ($)]]</f>
        <v>0</v>
      </c>
      <c r="W13" s="71" t="e">
        <f>(Table1438910[[#This Row],[Commercial Bid Price per case for NOI ($)]]+Table1438910[[#This Row],[Region 2: Fixed Fee Per Case ($)]])/Table1438910[[#This Row],['# of CN Servings per case]]</f>
        <v>#DIV/0!</v>
      </c>
      <c r="X13" s="72" t="e">
        <f>Table1438910[[#This Row],[Total Cost Per Serving (O+Q)/J]]*Table1438910[[#This Row],[Estimated Servings Annual]]</f>
        <v>#DIV/0!</v>
      </c>
    </row>
    <row r="14" spans="1:24" x14ac:dyDescent="0.35">
      <c r="A14" s="30" t="s">
        <v>38</v>
      </c>
      <c r="B14" s="28" t="s">
        <v>158</v>
      </c>
      <c r="C14" s="7" t="s">
        <v>24</v>
      </c>
      <c r="D14" s="7"/>
      <c r="E14" s="7"/>
      <c r="F14" s="7"/>
      <c r="G14" s="7"/>
      <c r="H14" s="7"/>
      <c r="I14" s="7"/>
      <c r="J14" s="7"/>
      <c r="K14" s="49">
        <v>250000</v>
      </c>
      <c r="L14" s="7"/>
      <c r="M14" s="7"/>
      <c r="N14" s="7"/>
      <c r="O14" s="7"/>
      <c r="P14" s="7"/>
      <c r="Q14" s="7"/>
      <c r="R14" s="7"/>
      <c r="S14" s="70">
        <f>(Table1438910[[#This Row],[Commercial Bid Price per case for NOI ($)]]-Table1438910[[#This Row],[Pass-Thru Value per case ($)]])+Table1438910[[#This Row],[Region 1: Fixed Fee Per Case ($)]]</f>
        <v>0</v>
      </c>
      <c r="T14" s="71" t="e">
        <f>(Table1438910[[#This Row],[Commercial Bid Price per case for NOI ($)]]+Table1438910[[#This Row],[Region 1: Fixed Fee Per Case ($)]])/Table1438910[[#This Row],['# of CN Servings per case]]</f>
        <v>#DIV/0!</v>
      </c>
      <c r="U14" s="71" t="e">
        <f>Table1438910[[#This Row],[Total Cost Per Serving (O+P)/J]]*Table1438910[[#This Row],[Estimated Servings Annual]]</f>
        <v>#DIV/0!</v>
      </c>
      <c r="V14" s="70">
        <f>(Table1438910[[#This Row],[Commercial Bid Price per case for NOI ($)]]-Table1438910[[#This Row],[Pass-Thru Value per case ($)]])+Table1438910[[#This Row],[Region 2: Fixed Fee Per Case ($)]]</f>
        <v>0</v>
      </c>
      <c r="W14" s="71" t="e">
        <f>(Table1438910[[#This Row],[Commercial Bid Price per case for NOI ($)]]+Table1438910[[#This Row],[Region 2: Fixed Fee Per Case ($)]])/Table1438910[[#This Row],['# of CN Servings per case]]</f>
        <v>#DIV/0!</v>
      </c>
      <c r="X14" s="72" t="e">
        <f>Table1438910[[#This Row],[Total Cost Per Serving (O+Q)/J]]*Table1438910[[#This Row],[Estimated Servings Annual]]</f>
        <v>#DIV/0!</v>
      </c>
    </row>
    <row r="15" spans="1:24" x14ac:dyDescent="0.35">
      <c r="A15" s="30" t="s">
        <v>38</v>
      </c>
      <c r="B15" s="28" t="s">
        <v>158</v>
      </c>
      <c r="C15" s="7" t="s">
        <v>13</v>
      </c>
      <c r="D15" s="7"/>
      <c r="E15" s="7"/>
      <c r="F15" s="7"/>
      <c r="G15" s="7"/>
      <c r="H15" s="7"/>
      <c r="I15" s="7"/>
      <c r="J15" s="7"/>
      <c r="K15" s="49">
        <v>250000</v>
      </c>
      <c r="L15" s="7"/>
      <c r="M15" s="7"/>
      <c r="N15" s="7"/>
      <c r="O15" s="7"/>
      <c r="P15" s="7"/>
      <c r="Q15" s="7"/>
      <c r="R15" s="7"/>
      <c r="S15" s="70">
        <f>(Table1438910[[#This Row],[Commercial Bid Price per case for NOI ($)]]-Table1438910[[#This Row],[Pass-Thru Value per case ($)]])+Table1438910[[#This Row],[Region 1: Fixed Fee Per Case ($)]]</f>
        <v>0</v>
      </c>
      <c r="T15" s="71" t="e">
        <f>(Table1438910[[#This Row],[Commercial Bid Price per case for NOI ($)]]+Table1438910[[#This Row],[Region 1: Fixed Fee Per Case ($)]])/Table1438910[[#This Row],['# of CN Servings per case]]</f>
        <v>#DIV/0!</v>
      </c>
      <c r="U15" s="71" t="e">
        <f>Table1438910[[#This Row],[Total Cost Per Serving (O+P)/J]]*Table1438910[[#This Row],[Estimated Servings Annual]]</f>
        <v>#DIV/0!</v>
      </c>
      <c r="V15" s="70">
        <f>(Table1438910[[#This Row],[Commercial Bid Price per case for NOI ($)]]-Table1438910[[#This Row],[Pass-Thru Value per case ($)]])+Table1438910[[#This Row],[Region 2: Fixed Fee Per Case ($)]]</f>
        <v>0</v>
      </c>
      <c r="W15" s="71" t="e">
        <f>(Table1438910[[#This Row],[Commercial Bid Price per case for NOI ($)]]+Table1438910[[#This Row],[Region 2: Fixed Fee Per Case ($)]])/Table1438910[[#This Row],['# of CN Servings per case]]</f>
        <v>#DIV/0!</v>
      </c>
      <c r="X15" s="72" t="e">
        <f>Table1438910[[#This Row],[Total Cost Per Serving (O+Q)/J]]*Table1438910[[#This Row],[Estimated Servings Annual]]</f>
        <v>#DIV/0!</v>
      </c>
    </row>
    <row r="16" spans="1:24" x14ac:dyDescent="0.35">
      <c r="A16" s="30" t="s">
        <v>38</v>
      </c>
      <c r="B16" s="28" t="s">
        <v>158</v>
      </c>
      <c r="C16" s="7" t="s">
        <v>13</v>
      </c>
      <c r="D16" s="7"/>
      <c r="E16" s="7"/>
      <c r="F16" s="7"/>
      <c r="G16" s="7"/>
      <c r="H16" s="7"/>
      <c r="I16" s="7"/>
      <c r="J16" s="7"/>
      <c r="K16" s="49">
        <v>250000</v>
      </c>
      <c r="L16" s="7"/>
      <c r="M16" s="7"/>
      <c r="N16" s="7"/>
      <c r="O16" s="7"/>
      <c r="P16" s="7"/>
      <c r="Q16" s="7"/>
      <c r="R16" s="7"/>
      <c r="S16" s="70">
        <f>(Table1438910[[#This Row],[Commercial Bid Price per case for NOI ($)]]-Table1438910[[#This Row],[Pass-Thru Value per case ($)]])+Table1438910[[#This Row],[Region 1: Fixed Fee Per Case ($)]]</f>
        <v>0</v>
      </c>
      <c r="T16" s="71" t="e">
        <f>(Table1438910[[#This Row],[Commercial Bid Price per case for NOI ($)]]+Table1438910[[#This Row],[Region 1: Fixed Fee Per Case ($)]])/Table1438910[[#This Row],['# of CN Servings per case]]</f>
        <v>#DIV/0!</v>
      </c>
      <c r="U16" s="71" t="e">
        <f>Table1438910[[#This Row],[Total Cost Per Serving (O+P)/J]]*Table1438910[[#This Row],[Estimated Servings Annual]]</f>
        <v>#DIV/0!</v>
      </c>
      <c r="V16" s="70">
        <f>(Table1438910[[#This Row],[Commercial Bid Price per case for NOI ($)]]-Table1438910[[#This Row],[Pass-Thru Value per case ($)]])+Table1438910[[#This Row],[Region 2: Fixed Fee Per Case ($)]]</f>
        <v>0</v>
      </c>
      <c r="W16" s="71" t="e">
        <f>(Table1438910[[#This Row],[Commercial Bid Price per case for NOI ($)]]+Table1438910[[#This Row],[Region 2: Fixed Fee Per Case ($)]])/Table1438910[[#This Row],['# of CN Servings per case]]</f>
        <v>#DIV/0!</v>
      </c>
      <c r="X16" s="72" t="e">
        <f>Table1438910[[#This Row],[Total Cost Per Serving (O+Q)/J]]*Table1438910[[#This Row],[Estimated Servings Annual]]</f>
        <v>#DIV/0!</v>
      </c>
    </row>
    <row r="17" spans="1:24" x14ac:dyDescent="0.35">
      <c r="A17" s="30" t="s">
        <v>38</v>
      </c>
      <c r="B17" s="28" t="s">
        <v>158</v>
      </c>
      <c r="C17" s="7" t="s">
        <v>13</v>
      </c>
      <c r="D17" s="7"/>
      <c r="E17" s="7"/>
      <c r="F17" s="7"/>
      <c r="G17" s="7"/>
      <c r="H17" s="7"/>
      <c r="I17" s="7"/>
      <c r="J17" s="7"/>
      <c r="K17" s="49">
        <v>250000</v>
      </c>
      <c r="L17" s="7"/>
      <c r="M17" s="7"/>
      <c r="N17" s="7"/>
      <c r="O17" s="7"/>
      <c r="P17" s="7"/>
      <c r="Q17" s="7"/>
      <c r="R17" s="7"/>
      <c r="S17" s="70">
        <f>(Table1438910[[#This Row],[Commercial Bid Price per case for NOI ($)]]-Table1438910[[#This Row],[Pass-Thru Value per case ($)]])+Table1438910[[#This Row],[Region 1: Fixed Fee Per Case ($)]]</f>
        <v>0</v>
      </c>
      <c r="T17" s="71" t="e">
        <f>(Table1438910[[#This Row],[Commercial Bid Price per case for NOI ($)]]+Table1438910[[#This Row],[Region 1: Fixed Fee Per Case ($)]])/Table1438910[[#This Row],['# of CN Servings per case]]</f>
        <v>#DIV/0!</v>
      </c>
      <c r="U17" s="71" t="e">
        <f>Table1438910[[#This Row],[Total Cost Per Serving (O+P)/J]]*Table1438910[[#This Row],[Estimated Servings Annual]]</f>
        <v>#DIV/0!</v>
      </c>
      <c r="V17" s="70">
        <f>(Table1438910[[#This Row],[Commercial Bid Price per case for NOI ($)]]-Table1438910[[#This Row],[Pass-Thru Value per case ($)]])+Table1438910[[#This Row],[Region 2: Fixed Fee Per Case ($)]]</f>
        <v>0</v>
      </c>
      <c r="W17" s="71" t="e">
        <f>(Table1438910[[#This Row],[Commercial Bid Price per case for NOI ($)]]+Table1438910[[#This Row],[Region 2: Fixed Fee Per Case ($)]])/Table1438910[[#This Row],['# of CN Servings per case]]</f>
        <v>#DIV/0!</v>
      </c>
      <c r="X17" s="72" t="e">
        <f>Table1438910[[#This Row],[Total Cost Per Serving (O+Q)/J]]*Table1438910[[#This Row],[Estimated Servings Annual]]</f>
        <v>#DIV/0!</v>
      </c>
    </row>
    <row r="18" spans="1:24" ht="15" thickBot="1" x14ac:dyDescent="0.4">
      <c r="A18" s="30" t="s">
        <v>38</v>
      </c>
      <c r="B18" s="28" t="s">
        <v>158</v>
      </c>
      <c r="C18" s="8" t="s">
        <v>13</v>
      </c>
      <c r="D18" s="8"/>
      <c r="E18" s="8"/>
      <c r="F18" s="8"/>
      <c r="G18" s="8"/>
      <c r="H18" s="8"/>
      <c r="I18" s="8"/>
      <c r="J18" s="8"/>
      <c r="K18" s="49">
        <v>250000</v>
      </c>
      <c r="L18" s="8"/>
      <c r="M18" s="8"/>
      <c r="N18" s="8"/>
      <c r="O18" s="8"/>
      <c r="P18" s="8"/>
      <c r="Q18" s="8"/>
      <c r="R18" s="8"/>
      <c r="S18" s="73">
        <f>(Table1438910[[#This Row],[Commercial Bid Price per case for NOI ($)]]-Table1438910[[#This Row],[Pass-Thru Value per case ($)]])+Table1438910[[#This Row],[Region 1: Fixed Fee Per Case ($)]]</f>
        <v>0</v>
      </c>
      <c r="T18" s="74" t="e">
        <f>(Table1438910[[#This Row],[Commercial Bid Price per case for NOI ($)]]+Table1438910[[#This Row],[Region 1: Fixed Fee Per Case ($)]])/Table1438910[[#This Row],['# of CN Servings per case]]</f>
        <v>#DIV/0!</v>
      </c>
      <c r="U18" s="74" t="e">
        <f>Table1438910[[#This Row],[Total Cost Per Serving (O+P)/J]]*Table1438910[[#This Row],[Estimated Servings Annual]]</f>
        <v>#DIV/0!</v>
      </c>
      <c r="V18" s="73">
        <f>(Table1438910[[#This Row],[Commercial Bid Price per case for NOI ($)]]-Table1438910[[#This Row],[Pass-Thru Value per case ($)]])+Table1438910[[#This Row],[Region 2: Fixed Fee Per Case ($)]]</f>
        <v>0</v>
      </c>
      <c r="W18" s="74" t="e">
        <f>(Table1438910[[#This Row],[Commercial Bid Price per case for NOI ($)]]+Table1438910[[#This Row],[Region 2: Fixed Fee Per Case ($)]])/Table1438910[[#This Row],['# of CN Servings per case]]</f>
        <v>#DIV/0!</v>
      </c>
      <c r="X18" s="75" t="e">
        <f>Table1438910[[#This Row],[Total Cost Per Serving (O+Q)/J]]*Table1438910[[#This Row],[Estimated Servings Annual]]</f>
        <v>#DIV/0!</v>
      </c>
    </row>
    <row r="19" spans="1:24" x14ac:dyDescent="0.35">
      <c r="A19" s="30" t="s">
        <v>38</v>
      </c>
      <c r="B19" s="42" t="s">
        <v>159</v>
      </c>
      <c r="C19" s="6" t="s">
        <v>26</v>
      </c>
      <c r="D19" s="6"/>
      <c r="E19" s="6"/>
      <c r="F19" s="6"/>
      <c r="G19" s="6"/>
      <c r="H19" s="6"/>
      <c r="I19" s="6"/>
      <c r="J19" s="6"/>
      <c r="K19" s="48">
        <v>100000</v>
      </c>
      <c r="L19" s="6"/>
      <c r="M19" s="6"/>
      <c r="N19" s="6"/>
      <c r="O19" s="6"/>
      <c r="P19" s="6"/>
      <c r="Q19" s="6"/>
      <c r="R19" s="6"/>
      <c r="S19" s="67">
        <f>(Table1438910[[#This Row],[Commercial Bid Price per case for NOI ($)]]-Table1438910[[#This Row],[Pass-Thru Value per case ($)]])+Table1438910[[#This Row],[Region 1: Fixed Fee Per Case ($)]]</f>
        <v>0</v>
      </c>
      <c r="T19" s="68" t="e">
        <f>(Table1438910[[#This Row],[Commercial Bid Price per case for NOI ($)]]+Table1438910[[#This Row],[Region 1: Fixed Fee Per Case ($)]])/Table1438910[[#This Row],['# of CN Servings per case]]</f>
        <v>#DIV/0!</v>
      </c>
      <c r="U19" s="68" t="e">
        <f>Table1438910[[#This Row],[Total Cost Per Serving (O+P)/J]]*Table1438910[[#This Row],[Estimated Servings Annual]]</f>
        <v>#DIV/0!</v>
      </c>
      <c r="V19" s="67">
        <f>(Table1438910[[#This Row],[Commercial Bid Price per case for NOI ($)]]-Table1438910[[#This Row],[Pass-Thru Value per case ($)]])+Table1438910[[#This Row],[Region 2: Fixed Fee Per Case ($)]]</f>
        <v>0</v>
      </c>
      <c r="W19" s="68" t="e">
        <f>(Table1438910[[#This Row],[Commercial Bid Price per case for NOI ($)]]+Table1438910[[#This Row],[Region 2: Fixed Fee Per Case ($)]])/Table1438910[[#This Row],['# of CN Servings per case]]</f>
        <v>#DIV/0!</v>
      </c>
      <c r="X19" s="69" t="e">
        <f>Table1438910[[#This Row],[Total Cost Per Serving (O+Q)/J]]*Table1438910[[#This Row],[Estimated Servings Annual]]</f>
        <v>#DIV/0!</v>
      </c>
    </row>
    <row r="20" spans="1:24" x14ac:dyDescent="0.35">
      <c r="A20" s="30" t="s">
        <v>38</v>
      </c>
      <c r="B20" s="28" t="s">
        <v>159</v>
      </c>
      <c r="C20" s="7" t="s">
        <v>26</v>
      </c>
      <c r="D20" s="7"/>
      <c r="E20" s="7"/>
      <c r="F20" s="7"/>
      <c r="G20" s="7"/>
      <c r="H20" s="7"/>
      <c r="I20" s="7"/>
      <c r="J20" s="7"/>
      <c r="K20" s="49">
        <v>100000</v>
      </c>
      <c r="L20" s="7"/>
      <c r="M20" s="7"/>
      <c r="N20" s="7"/>
      <c r="O20" s="7"/>
      <c r="P20" s="7"/>
      <c r="Q20" s="7"/>
      <c r="R20" s="7"/>
      <c r="S20" s="70">
        <f>(Table1438910[[#This Row],[Commercial Bid Price per case for NOI ($)]]-Table1438910[[#This Row],[Pass-Thru Value per case ($)]])+Table1438910[[#This Row],[Region 1: Fixed Fee Per Case ($)]]</f>
        <v>0</v>
      </c>
      <c r="T20" s="71" t="e">
        <f>(Table1438910[[#This Row],[Commercial Bid Price per case for NOI ($)]]+Table1438910[[#This Row],[Region 1: Fixed Fee Per Case ($)]])/Table1438910[[#This Row],['# of CN Servings per case]]</f>
        <v>#DIV/0!</v>
      </c>
      <c r="U20" s="71" t="e">
        <f>Table1438910[[#This Row],[Total Cost Per Serving (O+P)/J]]*Table1438910[[#This Row],[Estimated Servings Annual]]</f>
        <v>#DIV/0!</v>
      </c>
      <c r="V20" s="70">
        <f>(Table1438910[[#This Row],[Commercial Bid Price per case for NOI ($)]]-Table1438910[[#This Row],[Pass-Thru Value per case ($)]])+Table1438910[[#This Row],[Region 2: Fixed Fee Per Case ($)]]</f>
        <v>0</v>
      </c>
      <c r="W20" s="71" t="e">
        <f>(Table1438910[[#This Row],[Commercial Bid Price per case for NOI ($)]]+Table1438910[[#This Row],[Region 2: Fixed Fee Per Case ($)]])/Table1438910[[#This Row],['# of CN Servings per case]]</f>
        <v>#DIV/0!</v>
      </c>
      <c r="X20" s="72" t="e">
        <f>Table1438910[[#This Row],[Total Cost Per Serving (O+Q)/J]]*Table1438910[[#This Row],[Estimated Servings Annual]]</f>
        <v>#DIV/0!</v>
      </c>
    </row>
    <row r="21" spans="1:24" x14ac:dyDescent="0.35">
      <c r="A21" s="30" t="s">
        <v>38</v>
      </c>
      <c r="B21" s="28" t="s">
        <v>159</v>
      </c>
      <c r="C21" s="7" t="s">
        <v>24</v>
      </c>
      <c r="D21" s="7"/>
      <c r="E21" s="7"/>
      <c r="F21" s="7"/>
      <c r="G21" s="7"/>
      <c r="H21" s="7"/>
      <c r="I21" s="7"/>
      <c r="J21" s="7"/>
      <c r="K21" s="49">
        <v>100000</v>
      </c>
      <c r="L21" s="7"/>
      <c r="M21" s="7"/>
      <c r="N21" s="7"/>
      <c r="O21" s="7"/>
      <c r="P21" s="7"/>
      <c r="Q21" s="7"/>
      <c r="R21" s="7"/>
      <c r="S21" s="70">
        <f>(Table1438910[[#This Row],[Commercial Bid Price per case for NOI ($)]]-Table1438910[[#This Row],[Pass-Thru Value per case ($)]])+Table1438910[[#This Row],[Region 1: Fixed Fee Per Case ($)]]</f>
        <v>0</v>
      </c>
      <c r="T21" s="71" t="e">
        <f>(Table1438910[[#This Row],[Commercial Bid Price per case for NOI ($)]]+Table1438910[[#This Row],[Region 1: Fixed Fee Per Case ($)]])/Table1438910[[#This Row],['# of CN Servings per case]]</f>
        <v>#DIV/0!</v>
      </c>
      <c r="U21" s="71" t="e">
        <f>Table1438910[[#This Row],[Total Cost Per Serving (O+P)/J]]*Table1438910[[#This Row],[Estimated Servings Annual]]</f>
        <v>#DIV/0!</v>
      </c>
      <c r="V21" s="70">
        <f>(Table1438910[[#This Row],[Commercial Bid Price per case for NOI ($)]]-Table1438910[[#This Row],[Pass-Thru Value per case ($)]])+Table1438910[[#This Row],[Region 2: Fixed Fee Per Case ($)]]</f>
        <v>0</v>
      </c>
      <c r="W21" s="71" t="e">
        <f>(Table1438910[[#This Row],[Commercial Bid Price per case for NOI ($)]]+Table1438910[[#This Row],[Region 2: Fixed Fee Per Case ($)]])/Table1438910[[#This Row],['# of CN Servings per case]]</f>
        <v>#DIV/0!</v>
      </c>
      <c r="X21" s="72" t="e">
        <f>Table1438910[[#This Row],[Total Cost Per Serving (O+Q)/J]]*Table1438910[[#This Row],[Estimated Servings Annual]]</f>
        <v>#DIV/0!</v>
      </c>
    </row>
    <row r="22" spans="1:24" x14ac:dyDescent="0.35">
      <c r="A22" s="30" t="s">
        <v>38</v>
      </c>
      <c r="B22" s="28" t="s">
        <v>159</v>
      </c>
      <c r="C22" s="7" t="s">
        <v>24</v>
      </c>
      <c r="D22" s="7"/>
      <c r="E22" s="7"/>
      <c r="F22" s="7"/>
      <c r="G22" s="7"/>
      <c r="H22" s="7"/>
      <c r="I22" s="7"/>
      <c r="J22" s="7"/>
      <c r="K22" s="49">
        <v>100000</v>
      </c>
      <c r="L22" s="7"/>
      <c r="M22" s="7"/>
      <c r="N22" s="7"/>
      <c r="O22" s="7"/>
      <c r="P22" s="7"/>
      <c r="Q22" s="7"/>
      <c r="R22" s="7"/>
      <c r="S22" s="70">
        <f>(Table1438910[[#This Row],[Commercial Bid Price per case for NOI ($)]]-Table1438910[[#This Row],[Pass-Thru Value per case ($)]])+Table1438910[[#This Row],[Region 1: Fixed Fee Per Case ($)]]</f>
        <v>0</v>
      </c>
      <c r="T22" s="71" t="e">
        <f>(Table1438910[[#This Row],[Commercial Bid Price per case for NOI ($)]]+Table1438910[[#This Row],[Region 1: Fixed Fee Per Case ($)]])/Table1438910[[#This Row],['# of CN Servings per case]]</f>
        <v>#DIV/0!</v>
      </c>
      <c r="U22" s="71" t="e">
        <f>Table1438910[[#This Row],[Total Cost Per Serving (O+P)/J]]*Table1438910[[#This Row],[Estimated Servings Annual]]</f>
        <v>#DIV/0!</v>
      </c>
      <c r="V22" s="70">
        <f>(Table1438910[[#This Row],[Commercial Bid Price per case for NOI ($)]]-Table1438910[[#This Row],[Pass-Thru Value per case ($)]])+Table1438910[[#This Row],[Region 2: Fixed Fee Per Case ($)]]</f>
        <v>0</v>
      </c>
      <c r="W22" s="71" t="e">
        <f>(Table1438910[[#This Row],[Commercial Bid Price per case for NOI ($)]]+Table1438910[[#This Row],[Region 2: Fixed Fee Per Case ($)]])/Table1438910[[#This Row],['# of CN Servings per case]]</f>
        <v>#DIV/0!</v>
      </c>
      <c r="X22" s="72" t="e">
        <f>Table1438910[[#This Row],[Total Cost Per Serving (O+Q)/J]]*Table1438910[[#This Row],[Estimated Servings Annual]]</f>
        <v>#DIV/0!</v>
      </c>
    </row>
    <row r="23" spans="1:24" x14ac:dyDescent="0.35">
      <c r="A23" s="30" t="s">
        <v>38</v>
      </c>
      <c r="B23" s="28" t="s">
        <v>159</v>
      </c>
      <c r="C23" s="7" t="s">
        <v>13</v>
      </c>
      <c r="D23" s="7"/>
      <c r="E23" s="7"/>
      <c r="F23" s="7"/>
      <c r="G23" s="7"/>
      <c r="H23" s="7"/>
      <c r="I23" s="7"/>
      <c r="J23" s="7"/>
      <c r="K23" s="49">
        <v>100000</v>
      </c>
      <c r="L23" s="7"/>
      <c r="M23" s="7"/>
      <c r="N23" s="7"/>
      <c r="O23" s="7"/>
      <c r="P23" s="7"/>
      <c r="Q23" s="7"/>
      <c r="R23" s="7"/>
      <c r="S23" s="70">
        <f>(Table1438910[[#This Row],[Commercial Bid Price per case for NOI ($)]]-Table1438910[[#This Row],[Pass-Thru Value per case ($)]])+Table1438910[[#This Row],[Region 1: Fixed Fee Per Case ($)]]</f>
        <v>0</v>
      </c>
      <c r="T23" s="71" t="e">
        <f>(Table1438910[[#This Row],[Commercial Bid Price per case for NOI ($)]]+Table1438910[[#This Row],[Region 1: Fixed Fee Per Case ($)]])/Table1438910[[#This Row],['# of CN Servings per case]]</f>
        <v>#DIV/0!</v>
      </c>
      <c r="U23" s="71" t="e">
        <f>Table1438910[[#This Row],[Total Cost Per Serving (O+P)/J]]*Table1438910[[#This Row],[Estimated Servings Annual]]</f>
        <v>#DIV/0!</v>
      </c>
      <c r="V23" s="70">
        <f>(Table1438910[[#This Row],[Commercial Bid Price per case for NOI ($)]]-Table1438910[[#This Row],[Pass-Thru Value per case ($)]])+Table1438910[[#This Row],[Region 2: Fixed Fee Per Case ($)]]</f>
        <v>0</v>
      </c>
      <c r="W23" s="71" t="e">
        <f>(Table1438910[[#This Row],[Commercial Bid Price per case for NOI ($)]]+Table1438910[[#This Row],[Region 2: Fixed Fee Per Case ($)]])/Table1438910[[#This Row],['# of CN Servings per case]]</f>
        <v>#DIV/0!</v>
      </c>
      <c r="X23" s="72" t="e">
        <f>Table1438910[[#This Row],[Total Cost Per Serving (O+Q)/J]]*Table1438910[[#This Row],[Estimated Servings Annual]]</f>
        <v>#DIV/0!</v>
      </c>
    </row>
    <row r="24" spans="1:24" x14ac:dyDescent="0.35">
      <c r="A24" s="30" t="s">
        <v>38</v>
      </c>
      <c r="B24" s="28" t="s">
        <v>159</v>
      </c>
      <c r="C24" s="7" t="s">
        <v>13</v>
      </c>
      <c r="D24" s="7"/>
      <c r="E24" s="7"/>
      <c r="F24" s="7"/>
      <c r="G24" s="7"/>
      <c r="H24" s="7"/>
      <c r="I24" s="7"/>
      <c r="J24" s="7"/>
      <c r="K24" s="49">
        <v>100000</v>
      </c>
      <c r="L24" s="7"/>
      <c r="M24" s="7"/>
      <c r="N24" s="7"/>
      <c r="O24" s="7"/>
      <c r="P24" s="7"/>
      <c r="Q24" s="7"/>
      <c r="R24" s="7"/>
      <c r="S24" s="70">
        <f>(Table1438910[[#This Row],[Commercial Bid Price per case for NOI ($)]]-Table1438910[[#This Row],[Pass-Thru Value per case ($)]])+Table1438910[[#This Row],[Region 1: Fixed Fee Per Case ($)]]</f>
        <v>0</v>
      </c>
      <c r="T24" s="71" t="e">
        <f>(Table1438910[[#This Row],[Commercial Bid Price per case for NOI ($)]]+Table1438910[[#This Row],[Region 1: Fixed Fee Per Case ($)]])/Table1438910[[#This Row],['# of CN Servings per case]]</f>
        <v>#DIV/0!</v>
      </c>
      <c r="U24" s="71" t="e">
        <f>Table1438910[[#This Row],[Total Cost Per Serving (O+P)/J]]*Table1438910[[#This Row],[Estimated Servings Annual]]</f>
        <v>#DIV/0!</v>
      </c>
      <c r="V24" s="70">
        <f>(Table1438910[[#This Row],[Commercial Bid Price per case for NOI ($)]]-Table1438910[[#This Row],[Pass-Thru Value per case ($)]])+Table1438910[[#This Row],[Region 2: Fixed Fee Per Case ($)]]</f>
        <v>0</v>
      </c>
      <c r="W24" s="71" t="e">
        <f>(Table1438910[[#This Row],[Commercial Bid Price per case for NOI ($)]]+Table1438910[[#This Row],[Region 2: Fixed Fee Per Case ($)]])/Table1438910[[#This Row],['# of CN Servings per case]]</f>
        <v>#DIV/0!</v>
      </c>
      <c r="X24" s="72" t="e">
        <f>Table1438910[[#This Row],[Total Cost Per Serving (O+Q)/J]]*Table1438910[[#This Row],[Estimated Servings Annual]]</f>
        <v>#DIV/0!</v>
      </c>
    </row>
    <row r="25" spans="1:24" x14ac:dyDescent="0.35">
      <c r="A25" s="30" t="s">
        <v>38</v>
      </c>
      <c r="B25" s="28" t="s">
        <v>159</v>
      </c>
      <c r="C25" s="7" t="s">
        <v>13</v>
      </c>
      <c r="D25" s="7"/>
      <c r="E25" s="7"/>
      <c r="F25" s="7"/>
      <c r="G25" s="7"/>
      <c r="H25" s="7"/>
      <c r="I25" s="7"/>
      <c r="J25" s="7"/>
      <c r="K25" s="49">
        <v>100000</v>
      </c>
      <c r="L25" s="7"/>
      <c r="M25" s="7"/>
      <c r="N25" s="7"/>
      <c r="O25" s="7"/>
      <c r="P25" s="7"/>
      <c r="Q25" s="7"/>
      <c r="R25" s="7"/>
      <c r="S25" s="70">
        <f>(Table1438910[[#This Row],[Commercial Bid Price per case for NOI ($)]]-Table1438910[[#This Row],[Pass-Thru Value per case ($)]])+Table1438910[[#This Row],[Region 1: Fixed Fee Per Case ($)]]</f>
        <v>0</v>
      </c>
      <c r="T25" s="71" t="e">
        <f>(Table1438910[[#This Row],[Commercial Bid Price per case for NOI ($)]]+Table1438910[[#This Row],[Region 1: Fixed Fee Per Case ($)]])/Table1438910[[#This Row],['# of CN Servings per case]]</f>
        <v>#DIV/0!</v>
      </c>
      <c r="U25" s="71" t="e">
        <f>Table1438910[[#This Row],[Total Cost Per Serving (O+P)/J]]*Table1438910[[#This Row],[Estimated Servings Annual]]</f>
        <v>#DIV/0!</v>
      </c>
      <c r="V25" s="70">
        <f>(Table1438910[[#This Row],[Commercial Bid Price per case for NOI ($)]]-Table1438910[[#This Row],[Pass-Thru Value per case ($)]])+Table1438910[[#This Row],[Region 2: Fixed Fee Per Case ($)]]</f>
        <v>0</v>
      </c>
      <c r="W25" s="71" t="e">
        <f>(Table1438910[[#This Row],[Commercial Bid Price per case for NOI ($)]]+Table1438910[[#This Row],[Region 2: Fixed Fee Per Case ($)]])/Table1438910[[#This Row],['# of CN Servings per case]]</f>
        <v>#DIV/0!</v>
      </c>
      <c r="X25" s="72" t="e">
        <f>Table1438910[[#This Row],[Total Cost Per Serving (O+Q)/J]]*Table1438910[[#This Row],[Estimated Servings Annual]]</f>
        <v>#DIV/0!</v>
      </c>
    </row>
    <row r="26" spans="1:24" ht="15" thickBot="1" x14ac:dyDescent="0.4">
      <c r="A26" s="30" t="s">
        <v>38</v>
      </c>
      <c r="B26" s="28" t="s">
        <v>159</v>
      </c>
      <c r="C26" s="8" t="s">
        <v>13</v>
      </c>
      <c r="D26" s="8"/>
      <c r="E26" s="8"/>
      <c r="F26" s="8"/>
      <c r="G26" s="8"/>
      <c r="H26" s="8"/>
      <c r="I26" s="8"/>
      <c r="J26" s="8"/>
      <c r="K26" s="50">
        <v>100000</v>
      </c>
      <c r="L26" s="8"/>
      <c r="M26" s="8"/>
      <c r="N26" s="8"/>
      <c r="O26" s="8"/>
      <c r="P26" s="8"/>
      <c r="Q26" s="8"/>
      <c r="R26" s="8"/>
      <c r="S26" s="73">
        <f>(Table1438910[[#This Row],[Commercial Bid Price per case for NOI ($)]]-Table1438910[[#This Row],[Pass-Thru Value per case ($)]])+Table1438910[[#This Row],[Region 1: Fixed Fee Per Case ($)]]</f>
        <v>0</v>
      </c>
      <c r="T26" s="74" t="e">
        <f>(Table1438910[[#This Row],[Commercial Bid Price per case for NOI ($)]]+Table1438910[[#This Row],[Region 1: Fixed Fee Per Case ($)]])/Table1438910[[#This Row],['# of CN Servings per case]]</f>
        <v>#DIV/0!</v>
      </c>
      <c r="U26" s="74" t="e">
        <f>Table1438910[[#This Row],[Total Cost Per Serving (O+P)/J]]*Table1438910[[#This Row],[Estimated Servings Annual]]</f>
        <v>#DIV/0!</v>
      </c>
      <c r="V26" s="73">
        <f>(Table1438910[[#This Row],[Commercial Bid Price per case for NOI ($)]]-Table1438910[[#This Row],[Pass-Thru Value per case ($)]])+Table1438910[[#This Row],[Region 2: Fixed Fee Per Case ($)]]</f>
        <v>0</v>
      </c>
      <c r="W26" s="74" t="e">
        <f>(Table1438910[[#This Row],[Commercial Bid Price per case for NOI ($)]]+Table1438910[[#This Row],[Region 2: Fixed Fee Per Case ($)]])/Table1438910[[#This Row],['# of CN Servings per case]]</f>
        <v>#DIV/0!</v>
      </c>
      <c r="X26" s="75" t="e">
        <f>Table1438910[[#This Row],[Total Cost Per Serving (O+Q)/J]]*Table1438910[[#This Row],[Estimated Servings Annual]]</f>
        <v>#DIV/0!</v>
      </c>
    </row>
    <row r="27" spans="1:24" x14ac:dyDescent="0.35">
      <c r="A27" s="30" t="s">
        <v>38</v>
      </c>
      <c r="B27" s="42" t="s">
        <v>160</v>
      </c>
      <c r="C27" s="6" t="s">
        <v>36</v>
      </c>
      <c r="D27" s="6"/>
      <c r="E27" s="6"/>
      <c r="F27" s="6"/>
      <c r="G27" s="6"/>
      <c r="H27" s="6"/>
      <c r="I27" s="6"/>
      <c r="J27" s="6"/>
      <c r="K27" s="48">
        <v>75000</v>
      </c>
      <c r="L27" s="6"/>
      <c r="M27" s="6"/>
      <c r="N27" s="6"/>
      <c r="O27" s="6"/>
      <c r="P27" s="6"/>
      <c r="Q27" s="6"/>
      <c r="R27" s="6"/>
      <c r="S27" s="67">
        <f>(Table1438910[[#This Row],[Commercial Bid Price per case for NOI ($)]]-Table1438910[[#This Row],[Pass-Thru Value per case ($)]])+Table1438910[[#This Row],[Region 1: Fixed Fee Per Case ($)]]</f>
        <v>0</v>
      </c>
      <c r="T27" s="68" t="e">
        <f>(Table1438910[[#This Row],[Commercial Bid Price per case for NOI ($)]]+Table1438910[[#This Row],[Region 1: Fixed Fee Per Case ($)]])/Table1438910[[#This Row],['# of CN Servings per case]]</f>
        <v>#DIV/0!</v>
      </c>
      <c r="U27" s="68" t="e">
        <f>Table1438910[[#This Row],[Total Cost Per Serving (O+P)/J]]*Table1438910[[#This Row],[Estimated Servings Annual]]</f>
        <v>#DIV/0!</v>
      </c>
      <c r="V27" s="67">
        <f>(Table1438910[[#This Row],[Commercial Bid Price per case for NOI ($)]]-Table1438910[[#This Row],[Pass-Thru Value per case ($)]])+Table1438910[[#This Row],[Region 2: Fixed Fee Per Case ($)]]</f>
        <v>0</v>
      </c>
      <c r="W27" s="68" t="e">
        <f>(Table1438910[[#This Row],[Commercial Bid Price per case for NOI ($)]]+Table1438910[[#This Row],[Region 2: Fixed Fee Per Case ($)]])/Table1438910[[#This Row],['# of CN Servings per case]]</f>
        <v>#DIV/0!</v>
      </c>
      <c r="X27" s="69" t="e">
        <f>Table1438910[[#This Row],[Total Cost Per Serving (O+Q)/J]]*Table1438910[[#This Row],[Estimated Servings Annual]]</f>
        <v>#DIV/0!</v>
      </c>
    </row>
    <row r="28" spans="1:24" x14ac:dyDescent="0.35">
      <c r="A28" s="30" t="s">
        <v>38</v>
      </c>
      <c r="B28" s="28" t="s">
        <v>160</v>
      </c>
      <c r="C28" s="7" t="s">
        <v>36</v>
      </c>
      <c r="D28" s="7"/>
      <c r="E28" s="7"/>
      <c r="F28" s="7"/>
      <c r="G28" s="7"/>
      <c r="H28" s="7"/>
      <c r="I28" s="7"/>
      <c r="J28" s="7"/>
      <c r="K28" s="49">
        <v>75000</v>
      </c>
      <c r="L28" s="7"/>
      <c r="M28" s="7"/>
      <c r="N28" s="7"/>
      <c r="O28" s="7"/>
      <c r="P28" s="7"/>
      <c r="Q28" s="7"/>
      <c r="R28" s="7"/>
      <c r="S28" s="70">
        <f>(Table1438910[[#This Row],[Commercial Bid Price per case for NOI ($)]]-Table1438910[[#This Row],[Pass-Thru Value per case ($)]])+Table1438910[[#This Row],[Region 1: Fixed Fee Per Case ($)]]</f>
        <v>0</v>
      </c>
      <c r="T28" s="71" t="e">
        <f>(Table1438910[[#This Row],[Commercial Bid Price per case for NOI ($)]]+Table1438910[[#This Row],[Region 1: Fixed Fee Per Case ($)]])/Table1438910[[#This Row],['# of CN Servings per case]]</f>
        <v>#DIV/0!</v>
      </c>
      <c r="U28" s="71" t="e">
        <f>Table1438910[[#This Row],[Total Cost Per Serving (O+P)/J]]*Table1438910[[#This Row],[Estimated Servings Annual]]</f>
        <v>#DIV/0!</v>
      </c>
      <c r="V28" s="70">
        <f>(Table1438910[[#This Row],[Commercial Bid Price per case for NOI ($)]]-Table1438910[[#This Row],[Pass-Thru Value per case ($)]])+Table1438910[[#This Row],[Region 2: Fixed Fee Per Case ($)]]</f>
        <v>0</v>
      </c>
      <c r="W28" s="71" t="e">
        <f>(Table1438910[[#This Row],[Commercial Bid Price per case for NOI ($)]]+Table1438910[[#This Row],[Region 2: Fixed Fee Per Case ($)]])/Table1438910[[#This Row],['# of CN Servings per case]]</f>
        <v>#DIV/0!</v>
      </c>
      <c r="X28" s="72" t="e">
        <f>Table1438910[[#This Row],[Total Cost Per Serving (O+Q)/J]]*Table1438910[[#This Row],[Estimated Servings Annual]]</f>
        <v>#DIV/0!</v>
      </c>
    </row>
    <row r="29" spans="1:24" x14ac:dyDescent="0.35">
      <c r="A29" s="30" t="s">
        <v>38</v>
      </c>
      <c r="B29" s="28" t="s">
        <v>160</v>
      </c>
      <c r="C29" s="7" t="s">
        <v>26</v>
      </c>
      <c r="D29" s="7"/>
      <c r="E29" s="7"/>
      <c r="F29" s="7"/>
      <c r="G29" s="7"/>
      <c r="H29" s="7"/>
      <c r="I29" s="7"/>
      <c r="J29" s="7"/>
      <c r="K29" s="49">
        <v>75000</v>
      </c>
      <c r="L29" s="7"/>
      <c r="M29" s="7"/>
      <c r="N29" s="7"/>
      <c r="O29" s="7"/>
      <c r="P29" s="7"/>
      <c r="Q29" s="7"/>
      <c r="R29" s="7"/>
      <c r="S29" s="70">
        <f>(Table1438910[[#This Row],[Commercial Bid Price per case for NOI ($)]]-Table1438910[[#This Row],[Pass-Thru Value per case ($)]])+Table1438910[[#This Row],[Region 1: Fixed Fee Per Case ($)]]</f>
        <v>0</v>
      </c>
      <c r="T29" s="71" t="e">
        <f>(Table1438910[[#This Row],[Commercial Bid Price per case for NOI ($)]]+Table1438910[[#This Row],[Region 1: Fixed Fee Per Case ($)]])/Table1438910[[#This Row],['# of CN Servings per case]]</f>
        <v>#DIV/0!</v>
      </c>
      <c r="U29" s="71" t="e">
        <f>Table1438910[[#This Row],[Total Cost Per Serving (O+P)/J]]*Table1438910[[#This Row],[Estimated Servings Annual]]</f>
        <v>#DIV/0!</v>
      </c>
      <c r="V29" s="70">
        <f>(Table1438910[[#This Row],[Commercial Bid Price per case for NOI ($)]]-Table1438910[[#This Row],[Pass-Thru Value per case ($)]])+Table1438910[[#This Row],[Region 2: Fixed Fee Per Case ($)]]</f>
        <v>0</v>
      </c>
      <c r="W29" s="71" t="e">
        <f>(Table1438910[[#This Row],[Commercial Bid Price per case for NOI ($)]]+Table1438910[[#This Row],[Region 2: Fixed Fee Per Case ($)]])/Table1438910[[#This Row],['# of CN Servings per case]]</f>
        <v>#DIV/0!</v>
      </c>
      <c r="X29" s="72" t="e">
        <f>Table1438910[[#This Row],[Total Cost Per Serving (O+Q)/J]]*Table1438910[[#This Row],[Estimated Servings Annual]]</f>
        <v>#DIV/0!</v>
      </c>
    </row>
    <row r="30" spans="1:24" x14ac:dyDescent="0.35">
      <c r="A30" s="30" t="s">
        <v>38</v>
      </c>
      <c r="B30" s="28" t="s">
        <v>160</v>
      </c>
      <c r="C30" s="7" t="s">
        <v>26</v>
      </c>
      <c r="D30" s="7"/>
      <c r="E30" s="7"/>
      <c r="F30" s="7"/>
      <c r="G30" s="7"/>
      <c r="H30" s="7"/>
      <c r="I30" s="7"/>
      <c r="J30" s="7"/>
      <c r="K30" s="49">
        <v>75000</v>
      </c>
      <c r="L30" s="7"/>
      <c r="M30" s="7"/>
      <c r="N30" s="7"/>
      <c r="O30" s="7"/>
      <c r="P30" s="7"/>
      <c r="Q30" s="7"/>
      <c r="R30" s="7"/>
      <c r="S30" s="70">
        <f>(Table1438910[[#This Row],[Commercial Bid Price per case for NOI ($)]]-Table1438910[[#This Row],[Pass-Thru Value per case ($)]])+Table1438910[[#This Row],[Region 1: Fixed Fee Per Case ($)]]</f>
        <v>0</v>
      </c>
      <c r="T30" s="71" t="e">
        <f>(Table1438910[[#This Row],[Commercial Bid Price per case for NOI ($)]]+Table1438910[[#This Row],[Region 1: Fixed Fee Per Case ($)]])/Table1438910[[#This Row],['# of CN Servings per case]]</f>
        <v>#DIV/0!</v>
      </c>
      <c r="U30" s="71" t="e">
        <f>Table1438910[[#This Row],[Total Cost Per Serving (O+P)/J]]*Table1438910[[#This Row],[Estimated Servings Annual]]</f>
        <v>#DIV/0!</v>
      </c>
      <c r="V30" s="70">
        <f>(Table1438910[[#This Row],[Commercial Bid Price per case for NOI ($)]]-Table1438910[[#This Row],[Pass-Thru Value per case ($)]])+Table1438910[[#This Row],[Region 2: Fixed Fee Per Case ($)]]</f>
        <v>0</v>
      </c>
      <c r="W30" s="71" t="e">
        <f>(Table1438910[[#This Row],[Commercial Bid Price per case for NOI ($)]]+Table1438910[[#This Row],[Region 2: Fixed Fee Per Case ($)]])/Table1438910[[#This Row],['# of CN Servings per case]]</f>
        <v>#DIV/0!</v>
      </c>
      <c r="X30" s="72" t="e">
        <f>Table1438910[[#This Row],[Total Cost Per Serving (O+Q)/J]]*Table1438910[[#This Row],[Estimated Servings Annual]]</f>
        <v>#DIV/0!</v>
      </c>
    </row>
    <row r="31" spans="1:24" x14ac:dyDescent="0.35">
      <c r="A31" s="30" t="s">
        <v>38</v>
      </c>
      <c r="B31" s="28" t="s">
        <v>160</v>
      </c>
      <c r="C31" s="7" t="s">
        <v>13</v>
      </c>
      <c r="D31" s="7"/>
      <c r="E31" s="7"/>
      <c r="F31" s="7"/>
      <c r="G31" s="7"/>
      <c r="H31" s="7"/>
      <c r="I31" s="7"/>
      <c r="J31" s="7"/>
      <c r="K31" s="49">
        <v>75000</v>
      </c>
      <c r="L31" s="7"/>
      <c r="M31" s="7"/>
      <c r="N31" s="7"/>
      <c r="O31" s="7"/>
      <c r="P31" s="7"/>
      <c r="Q31" s="7"/>
      <c r="R31" s="7"/>
      <c r="S31" s="70">
        <f>(Table1438910[[#This Row],[Commercial Bid Price per case for NOI ($)]]-Table1438910[[#This Row],[Pass-Thru Value per case ($)]])+Table1438910[[#This Row],[Region 1: Fixed Fee Per Case ($)]]</f>
        <v>0</v>
      </c>
      <c r="T31" s="71" t="e">
        <f>(Table1438910[[#This Row],[Commercial Bid Price per case for NOI ($)]]+Table1438910[[#This Row],[Region 1: Fixed Fee Per Case ($)]])/Table1438910[[#This Row],['# of CN Servings per case]]</f>
        <v>#DIV/0!</v>
      </c>
      <c r="U31" s="71" t="e">
        <f>Table1438910[[#This Row],[Total Cost Per Serving (O+P)/J]]*Table1438910[[#This Row],[Estimated Servings Annual]]</f>
        <v>#DIV/0!</v>
      </c>
      <c r="V31" s="70">
        <f>(Table1438910[[#This Row],[Commercial Bid Price per case for NOI ($)]]-Table1438910[[#This Row],[Pass-Thru Value per case ($)]])+Table1438910[[#This Row],[Region 2: Fixed Fee Per Case ($)]]</f>
        <v>0</v>
      </c>
      <c r="W31" s="71" t="e">
        <f>(Table1438910[[#This Row],[Commercial Bid Price per case for NOI ($)]]+Table1438910[[#This Row],[Region 2: Fixed Fee Per Case ($)]])/Table1438910[[#This Row],['# of CN Servings per case]]</f>
        <v>#DIV/0!</v>
      </c>
      <c r="X31" s="72" t="e">
        <f>Table1438910[[#This Row],[Total Cost Per Serving (O+Q)/J]]*Table1438910[[#This Row],[Estimated Servings Annual]]</f>
        <v>#DIV/0!</v>
      </c>
    </row>
    <row r="32" spans="1:24" x14ac:dyDescent="0.35">
      <c r="A32" s="30" t="s">
        <v>38</v>
      </c>
      <c r="B32" s="28" t="s">
        <v>160</v>
      </c>
      <c r="C32" s="7" t="s">
        <v>13</v>
      </c>
      <c r="D32" s="7"/>
      <c r="E32" s="7"/>
      <c r="F32" s="7"/>
      <c r="G32" s="7"/>
      <c r="H32" s="7"/>
      <c r="I32" s="7"/>
      <c r="J32" s="7"/>
      <c r="K32" s="49">
        <v>75000</v>
      </c>
      <c r="L32" s="7"/>
      <c r="M32" s="7"/>
      <c r="N32" s="7"/>
      <c r="O32" s="7"/>
      <c r="P32" s="7"/>
      <c r="Q32" s="7"/>
      <c r="R32" s="7"/>
      <c r="S32" s="70">
        <f>(Table1438910[[#This Row],[Commercial Bid Price per case for NOI ($)]]-Table1438910[[#This Row],[Pass-Thru Value per case ($)]])+Table1438910[[#This Row],[Region 1: Fixed Fee Per Case ($)]]</f>
        <v>0</v>
      </c>
      <c r="T32" s="71" t="e">
        <f>(Table1438910[[#This Row],[Commercial Bid Price per case for NOI ($)]]+Table1438910[[#This Row],[Region 1: Fixed Fee Per Case ($)]])/Table1438910[[#This Row],['# of CN Servings per case]]</f>
        <v>#DIV/0!</v>
      </c>
      <c r="U32" s="71" t="e">
        <f>Table1438910[[#This Row],[Total Cost Per Serving (O+P)/J]]*Table1438910[[#This Row],[Estimated Servings Annual]]</f>
        <v>#DIV/0!</v>
      </c>
      <c r="V32" s="70">
        <f>(Table1438910[[#This Row],[Commercial Bid Price per case for NOI ($)]]-Table1438910[[#This Row],[Pass-Thru Value per case ($)]])+Table1438910[[#This Row],[Region 2: Fixed Fee Per Case ($)]]</f>
        <v>0</v>
      </c>
      <c r="W32" s="71" t="e">
        <f>(Table1438910[[#This Row],[Commercial Bid Price per case for NOI ($)]]+Table1438910[[#This Row],[Region 2: Fixed Fee Per Case ($)]])/Table1438910[[#This Row],['# of CN Servings per case]]</f>
        <v>#DIV/0!</v>
      </c>
      <c r="X32" s="72" t="e">
        <f>Table1438910[[#This Row],[Total Cost Per Serving (O+Q)/J]]*Table1438910[[#This Row],[Estimated Servings Annual]]</f>
        <v>#DIV/0!</v>
      </c>
    </row>
    <row r="33" spans="1:24" x14ac:dyDescent="0.35">
      <c r="A33" s="30" t="s">
        <v>38</v>
      </c>
      <c r="B33" s="28" t="s">
        <v>160</v>
      </c>
      <c r="C33" s="7" t="s">
        <v>13</v>
      </c>
      <c r="D33" s="7"/>
      <c r="E33" s="7"/>
      <c r="F33" s="7"/>
      <c r="G33" s="7"/>
      <c r="H33" s="7"/>
      <c r="I33" s="7"/>
      <c r="J33" s="7"/>
      <c r="K33" s="49">
        <v>75000</v>
      </c>
      <c r="L33" s="7"/>
      <c r="M33" s="7"/>
      <c r="N33" s="7"/>
      <c r="O33" s="7"/>
      <c r="P33" s="7"/>
      <c r="Q33" s="7"/>
      <c r="R33" s="7"/>
      <c r="S33" s="70">
        <f>(Table1438910[[#This Row],[Commercial Bid Price per case for NOI ($)]]-Table1438910[[#This Row],[Pass-Thru Value per case ($)]])+Table1438910[[#This Row],[Region 1: Fixed Fee Per Case ($)]]</f>
        <v>0</v>
      </c>
      <c r="T33" s="71" t="e">
        <f>(Table1438910[[#This Row],[Commercial Bid Price per case for NOI ($)]]+Table1438910[[#This Row],[Region 1: Fixed Fee Per Case ($)]])/Table1438910[[#This Row],['# of CN Servings per case]]</f>
        <v>#DIV/0!</v>
      </c>
      <c r="U33" s="71" t="e">
        <f>Table1438910[[#This Row],[Total Cost Per Serving (O+P)/J]]*Table1438910[[#This Row],[Estimated Servings Annual]]</f>
        <v>#DIV/0!</v>
      </c>
      <c r="V33" s="70">
        <f>(Table1438910[[#This Row],[Commercial Bid Price per case for NOI ($)]]-Table1438910[[#This Row],[Pass-Thru Value per case ($)]])+Table1438910[[#This Row],[Region 2: Fixed Fee Per Case ($)]]</f>
        <v>0</v>
      </c>
      <c r="W33" s="71" t="e">
        <f>(Table1438910[[#This Row],[Commercial Bid Price per case for NOI ($)]]+Table1438910[[#This Row],[Region 2: Fixed Fee Per Case ($)]])/Table1438910[[#This Row],['# of CN Servings per case]]</f>
        <v>#DIV/0!</v>
      </c>
      <c r="X33" s="72" t="e">
        <f>Table1438910[[#This Row],[Total Cost Per Serving (O+Q)/J]]*Table1438910[[#This Row],[Estimated Servings Annual]]</f>
        <v>#DIV/0!</v>
      </c>
    </row>
    <row r="34" spans="1:24" ht="15" thickBot="1" x14ac:dyDescent="0.4">
      <c r="A34" s="30" t="s">
        <v>38</v>
      </c>
      <c r="B34" s="28" t="s">
        <v>160</v>
      </c>
      <c r="C34" s="8" t="s">
        <v>13</v>
      </c>
      <c r="D34" s="8"/>
      <c r="E34" s="8"/>
      <c r="F34" s="8"/>
      <c r="G34" s="8"/>
      <c r="H34" s="8"/>
      <c r="I34" s="8"/>
      <c r="J34" s="8"/>
      <c r="K34" s="49">
        <v>75000</v>
      </c>
      <c r="L34" s="8"/>
      <c r="M34" s="8"/>
      <c r="N34" s="8"/>
      <c r="O34" s="8"/>
      <c r="P34" s="8"/>
      <c r="Q34" s="8"/>
      <c r="R34" s="8"/>
      <c r="S34" s="73">
        <f>(Table1438910[[#This Row],[Commercial Bid Price per case for NOI ($)]]-Table1438910[[#This Row],[Pass-Thru Value per case ($)]])+Table1438910[[#This Row],[Region 1: Fixed Fee Per Case ($)]]</f>
        <v>0</v>
      </c>
      <c r="T34" s="74" t="e">
        <f>(Table1438910[[#This Row],[Commercial Bid Price per case for NOI ($)]]+Table1438910[[#This Row],[Region 1: Fixed Fee Per Case ($)]])/Table1438910[[#This Row],['# of CN Servings per case]]</f>
        <v>#DIV/0!</v>
      </c>
      <c r="U34" s="74" t="e">
        <f>Table1438910[[#This Row],[Total Cost Per Serving (O+P)/J]]*Table1438910[[#This Row],[Estimated Servings Annual]]</f>
        <v>#DIV/0!</v>
      </c>
      <c r="V34" s="73">
        <f>(Table1438910[[#This Row],[Commercial Bid Price per case for NOI ($)]]-Table1438910[[#This Row],[Pass-Thru Value per case ($)]])+Table1438910[[#This Row],[Region 2: Fixed Fee Per Case ($)]]</f>
        <v>0</v>
      </c>
      <c r="W34" s="74" t="e">
        <f>(Table1438910[[#This Row],[Commercial Bid Price per case for NOI ($)]]+Table1438910[[#This Row],[Region 2: Fixed Fee Per Case ($)]])/Table1438910[[#This Row],['# of CN Servings per case]]</f>
        <v>#DIV/0!</v>
      </c>
      <c r="X34" s="75" t="e">
        <f>Table1438910[[#This Row],[Total Cost Per Serving (O+Q)/J]]*Table1438910[[#This Row],[Estimated Servings Annual]]</f>
        <v>#DIV/0!</v>
      </c>
    </row>
  </sheetData>
  <sheetProtection algorithmName="SHA-512" hashValue="glZs1a8Uw9aN/zsyz9eDvEqTwxGqFiCQHKxvDx3yhAcPV/zWdHjJNyQb8M1Gc20uFGyB/k+JV8nrMwTKaRlV8Q==" saltValue="N6i157nJRACvk4xJ/YCI6w==" spinCount="100000" sheet="1" objects="1" scenarios="1" formatCells="0" formatColumns="0"/>
  <mergeCells count="3">
    <mergeCell ref="E1:G1"/>
    <mergeCell ref="S1:U1"/>
    <mergeCell ref="V1:X1"/>
  </mergeCells>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5F0AA-3E8C-40CF-BAFE-C263CBCAD33E}">
  <sheetPr codeName="Sheet13"/>
  <dimension ref="A1:X66"/>
  <sheetViews>
    <sheetView workbookViewId="0">
      <pane xSplit="3" ySplit="2" topLeftCell="D3" activePane="bottomRight" state="frozen"/>
      <selection activeCell="A24" sqref="A24"/>
      <selection pane="topRight" activeCell="A24" sqref="A24"/>
      <selection pane="bottomLeft" activeCell="A24" sqref="A24"/>
      <selection pane="bottomRight" activeCell="A24" sqref="A24"/>
    </sheetView>
  </sheetViews>
  <sheetFormatPr defaultColWidth="11" defaultRowHeight="14.5" x14ac:dyDescent="0.35"/>
  <cols>
    <col min="1" max="1" width="10.7265625" style="9" customWidth="1"/>
    <col min="2" max="2" width="26" style="9" bestFit="1" customWidth="1"/>
    <col min="3" max="3" width="16.6328125" style="9" bestFit="1" customWidth="1"/>
    <col min="4" max="4" width="20.81640625" style="9" bestFit="1" customWidth="1"/>
    <col min="5" max="5" width="27.453125" style="9" customWidth="1"/>
    <col min="6" max="6" width="17" style="9" customWidth="1"/>
    <col min="7" max="7" width="19.08984375" style="9" customWidth="1"/>
    <col min="8" max="8" width="16.08984375" style="9" customWidth="1"/>
    <col min="9" max="9" width="12.54296875" style="9" customWidth="1"/>
    <col min="10" max="10" width="15.1796875" style="63" customWidth="1"/>
    <col min="11" max="11" width="11.7265625" style="9" bestFit="1" customWidth="1"/>
    <col min="12" max="12" width="14.7265625" style="9" customWidth="1"/>
    <col min="13" max="13" width="14.26953125" style="9" bestFit="1" customWidth="1"/>
    <col min="14" max="14" width="11.453125" style="9" bestFit="1" customWidth="1"/>
    <col min="15" max="15" width="17.81640625" style="9" bestFit="1" customWidth="1"/>
    <col min="16" max="17" width="16.90625" style="9" bestFit="1" customWidth="1"/>
    <col min="18" max="18" width="14.54296875" style="9" bestFit="1" customWidth="1"/>
    <col min="19" max="19" width="14.1796875" style="9" bestFit="1" customWidth="1"/>
    <col min="20" max="20" width="16.36328125" style="9" bestFit="1" customWidth="1"/>
    <col min="21" max="21" width="11.54296875" style="9" bestFit="1" customWidth="1"/>
    <col min="22" max="22" width="14.1796875" style="9" bestFit="1" customWidth="1"/>
    <col min="23" max="23" width="16.6328125" style="9" bestFit="1" customWidth="1"/>
    <col min="24" max="24" width="11.54296875" style="9" bestFit="1" customWidth="1"/>
    <col min="25" max="16384" width="11" style="9"/>
  </cols>
  <sheetData>
    <row r="1" spans="1:24" x14ac:dyDescent="0.35">
      <c r="D1" s="10" t="s">
        <v>63</v>
      </c>
      <c r="E1" s="97">
        <f>Instructions!A2</f>
        <v>0</v>
      </c>
      <c r="F1" s="97"/>
      <c r="G1" s="97"/>
      <c r="S1" s="98" t="s">
        <v>72</v>
      </c>
      <c r="T1" s="99"/>
      <c r="U1" s="100"/>
      <c r="V1" s="101" t="s">
        <v>73</v>
      </c>
      <c r="W1" s="102"/>
      <c r="X1" s="102"/>
    </row>
    <row r="2" spans="1:24" s="10" customFormat="1" ht="58.5" thickBot="1" x14ac:dyDescent="0.4">
      <c r="A2" s="10" t="s">
        <v>14</v>
      </c>
      <c r="B2" s="10" t="s">
        <v>3</v>
      </c>
      <c r="C2" s="10" t="s">
        <v>23</v>
      </c>
      <c r="D2" s="10" t="s">
        <v>66</v>
      </c>
      <c r="E2" s="10" t="s">
        <v>182</v>
      </c>
      <c r="F2" s="10" t="s">
        <v>0</v>
      </c>
      <c r="G2" s="10" t="s">
        <v>4</v>
      </c>
      <c r="H2" s="10" t="s">
        <v>20</v>
      </c>
      <c r="I2" s="10" t="s">
        <v>1</v>
      </c>
      <c r="J2" s="10" t="s">
        <v>5</v>
      </c>
      <c r="K2" s="18" t="s">
        <v>6</v>
      </c>
      <c r="L2" s="10" t="s">
        <v>2</v>
      </c>
      <c r="M2" s="10" t="s">
        <v>21</v>
      </c>
      <c r="N2" s="10" t="s">
        <v>65</v>
      </c>
      <c r="O2" s="10" t="s">
        <v>22</v>
      </c>
      <c r="P2" s="10" t="s">
        <v>70</v>
      </c>
      <c r="Q2" s="10" t="s">
        <v>71</v>
      </c>
      <c r="R2" s="10" t="s">
        <v>19</v>
      </c>
      <c r="S2" s="64" t="s">
        <v>77</v>
      </c>
      <c r="T2" s="65" t="s">
        <v>79</v>
      </c>
      <c r="U2" s="66" t="s">
        <v>80</v>
      </c>
      <c r="V2" s="64" t="s">
        <v>78</v>
      </c>
      <c r="W2" s="65" t="s">
        <v>81</v>
      </c>
      <c r="X2" s="66" t="s">
        <v>82</v>
      </c>
    </row>
    <row r="3" spans="1:24" x14ac:dyDescent="0.35">
      <c r="A3" s="29" t="s">
        <v>161</v>
      </c>
      <c r="B3" s="42" t="s">
        <v>162</v>
      </c>
      <c r="C3" s="6" t="s">
        <v>59</v>
      </c>
      <c r="D3" s="6"/>
      <c r="E3" s="6"/>
      <c r="F3" s="6"/>
      <c r="G3" s="6"/>
      <c r="H3" s="6"/>
      <c r="I3" s="6"/>
      <c r="J3" s="6"/>
      <c r="K3" s="48">
        <v>1000000</v>
      </c>
      <c r="L3" s="6"/>
      <c r="M3" s="6"/>
      <c r="N3" s="6"/>
      <c r="O3" s="6"/>
      <c r="P3" s="6"/>
      <c r="Q3" s="6"/>
      <c r="R3" s="6"/>
      <c r="S3" s="67">
        <f>(Table143812[[#This Row],[Commercial Bid Price per case for NOI ($)]]-Table143812[[#This Row],[Pass-Thru Value per case ($)]])+Table143812[[#This Row],[Region 1: Fixed Fee Per Case ($)]]</f>
        <v>0</v>
      </c>
      <c r="T3" s="68" t="e">
        <f>(Table143812[[#This Row],[Commercial Bid Price per case for NOI ($)]]+Table143812[[#This Row],[Region 1: Fixed Fee Per Case ($)]])/Table143812[[#This Row],['# of CN Servings per case]]</f>
        <v>#DIV/0!</v>
      </c>
      <c r="U3" s="68" t="e">
        <f>Table143812[[#This Row],[Total Cost Per Serving (O+P)/J]]*Table143812[[#This Row],[Estimated Servings Annual]]</f>
        <v>#DIV/0!</v>
      </c>
      <c r="V3" s="67">
        <f>(Table143812[[#This Row],[Commercial Bid Price per case for NOI ($)]]-Table143812[[#This Row],[Pass-Thru Value per case ($)]])+Table143812[[#This Row],[Region 2: Fixed Fee Per Case ($)]]</f>
        <v>0</v>
      </c>
      <c r="W3" s="68" t="e">
        <f>(Table143812[[#This Row],[Commercial Bid Price per case for NOI ($)]]+Table143812[[#This Row],[Region 2: Fixed Fee Per Case ($)]])/Table143812[[#This Row],['# of CN Servings per case]]</f>
        <v>#DIV/0!</v>
      </c>
      <c r="X3" s="69" t="e">
        <f>Table143812[[#This Row],[Total Cost Per Serving (O+Q)/J]]*Table143812[[#This Row],[Estimated Servings Annual]]</f>
        <v>#DIV/0!</v>
      </c>
    </row>
    <row r="4" spans="1:24" x14ac:dyDescent="0.35">
      <c r="A4" s="30" t="s">
        <v>161</v>
      </c>
      <c r="B4" s="28" t="s">
        <v>162</v>
      </c>
      <c r="C4" s="7" t="s">
        <v>59</v>
      </c>
      <c r="D4" s="7"/>
      <c r="E4" s="7"/>
      <c r="F4" s="7"/>
      <c r="G4" s="7"/>
      <c r="H4" s="7"/>
      <c r="I4" s="7"/>
      <c r="J4" s="7"/>
      <c r="K4" s="49">
        <v>1000000</v>
      </c>
      <c r="L4" s="7"/>
      <c r="M4" s="7"/>
      <c r="N4" s="7"/>
      <c r="O4" s="7"/>
      <c r="P4" s="7"/>
      <c r="Q4" s="7"/>
      <c r="R4" s="7"/>
      <c r="S4" s="70">
        <f>(Table143812[[#This Row],[Commercial Bid Price per case for NOI ($)]]-Table143812[[#This Row],[Pass-Thru Value per case ($)]])+Table143812[[#This Row],[Region 1: Fixed Fee Per Case ($)]]</f>
        <v>0</v>
      </c>
      <c r="T4" s="71" t="e">
        <f>(Table143812[[#This Row],[Commercial Bid Price per case for NOI ($)]]+Table143812[[#This Row],[Region 1: Fixed Fee Per Case ($)]])/Table143812[[#This Row],['# of CN Servings per case]]</f>
        <v>#DIV/0!</v>
      </c>
      <c r="U4" s="71" t="e">
        <f>Table143812[[#This Row],[Total Cost Per Serving (O+P)/J]]*Table143812[[#This Row],[Estimated Servings Annual]]</f>
        <v>#DIV/0!</v>
      </c>
      <c r="V4" s="70">
        <f>(Table143812[[#This Row],[Commercial Bid Price per case for NOI ($)]]-Table143812[[#This Row],[Pass-Thru Value per case ($)]])+Table143812[[#This Row],[Region 2: Fixed Fee Per Case ($)]]</f>
        <v>0</v>
      </c>
      <c r="W4" s="71" t="e">
        <f>(Table143812[[#This Row],[Commercial Bid Price per case for NOI ($)]]+Table143812[[#This Row],[Region 2: Fixed Fee Per Case ($)]])/Table143812[[#This Row],['# of CN Servings per case]]</f>
        <v>#DIV/0!</v>
      </c>
      <c r="X4" s="72" t="e">
        <f>Table143812[[#This Row],[Total Cost Per Serving (O+Q)/J]]*Table143812[[#This Row],[Estimated Servings Annual]]</f>
        <v>#DIV/0!</v>
      </c>
    </row>
    <row r="5" spans="1:24" x14ac:dyDescent="0.35">
      <c r="A5" s="30" t="s">
        <v>161</v>
      </c>
      <c r="B5" s="28" t="s">
        <v>162</v>
      </c>
      <c r="C5" s="7" t="s">
        <v>58</v>
      </c>
      <c r="D5" s="7"/>
      <c r="E5" s="7"/>
      <c r="F5" s="7"/>
      <c r="G5" s="7"/>
      <c r="H5" s="7"/>
      <c r="I5" s="7"/>
      <c r="J5" s="7"/>
      <c r="K5" s="49">
        <v>1000000</v>
      </c>
      <c r="L5" s="7"/>
      <c r="M5" s="7"/>
      <c r="N5" s="7"/>
      <c r="O5" s="7"/>
      <c r="P5" s="7"/>
      <c r="Q5" s="7"/>
      <c r="R5" s="7"/>
      <c r="S5" s="70">
        <f>(Table143812[[#This Row],[Commercial Bid Price per case for NOI ($)]]-Table143812[[#This Row],[Pass-Thru Value per case ($)]])+Table143812[[#This Row],[Region 1: Fixed Fee Per Case ($)]]</f>
        <v>0</v>
      </c>
      <c r="T5" s="71" t="e">
        <f>(Table143812[[#This Row],[Commercial Bid Price per case for NOI ($)]]+Table143812[[#This Row],[Region 1: Fixed Fee Per Case ($)]])/Table143812[[#This Row],['# of CN Servings per case]]</f>
        <v>#DIV/0!</v>
      </c>
      <c r="U5" s="71" t="e">
        <f>Table143812[[#This Row],[Total Cost Per Serving (O+P)/J]]*Table143812[[#This Row],[Estimated Servings Annual]]</f>
        <v>#DIV/0!</v>
      </c>
      <c r="V5" s="70">
        <f>(Table143812[[#This Row],[Commercial Bid Price per case for NOI ($)]]-Table143812[[#This Row],[Pass-Thru Value per case ($)]])+Table143812[[#This Row],[Region 2: Fixed Fee Per Case ($)]]</f>
        <v>0</v>
      </c>
      <c r="W5" s="71" t="e">
        <f>(Table143812[[#This Row],[Commercial Bid Price per case for NOI ($)]]+Table143812[[#This Row],[Region 2: Fixed Fee Per Case ($)]])/Table143812[[#This Row],['# of CN Servings per case]]</f>
        <v>#DIV/0!</v>
      </c>
      <c r="X5" s="72" t="e">
        <f>Table143812[[#This Row],[Total Cost Per Serving (O+Q)/J]]*Table143812[[#This Row],[Estimated Servings Annual]]</f>
        <v>#DIV/0!</v>
      </c>
    </row>
    <row r="6" spans="1:24" x14ac:dyDescent="0.35">
      <c r="A6" s="30" t="s">
        <v>161</v>
      </c>
      <c r="B6" s="28" t="s">
        <v>162</v>
      </c>
      <c r="C6" s="7" t="s">
        <v>58</v>
      </c>
      <c r="D6" s="7"/>
      <c r="E6" s="7"/>
      <c r="F6" s="7"/>
      <c r="G6" s="7"/>
      <c r="H6" s="7"/>
      <c r="I6" s="7"/>
      <c r="J6" s="7"/>
      <c r="K6" s="49">
        <v>1000000</v>
      </c>
      <c r="L6" s="7"/>
      <c r="M6" s="7"/>
      <c r="N6" s="7"/>
      <c r="O6" s="7"/>
      <c r="P6" s="7"/>
      <c r="Q6" s="7"/>
      <c r="R6" s="7"/>
      <c r="S6" s="70">
        <f>(Table143812[[#This Row],[Commercial Bid Price per case for NOI ($)]]-Table143812[[#This Row],[Pass-Thru Value per case ($)]])+Table143812[[#This Row],[Region 1: Fixed Fee Per Case ($)]]</f>
        <v>0</v>
      </c>
      <c r="T6" s="71" t="e">
        <f>(Table143812[[#This Row],[Commercial Bid Price per case for NOI ($)]]+Table143812[[#This Row],[Region 1: Fixed Fee Per Case ($)]])/Table143812[[#This Row],['# of CN Servings per case]]</f>
        <v>#DIV/0!</v>
      </c>
      <c r="U6" s="71" t="e">
        <f>Table143812[[#This Row],[Total Cost Per Serving (O+P)/J]]*Table143812[[#This Row],[Estimated Servings Annual]]</f>
        <v>#DIV/0!</v>
      </c>
      <c r="V6" s="70">
        <f>(Table143812[[#This Row],[Commercial Bid Price per case for NOI ($)]]-Table143812[[#This Row],[Pass-Thru Value per case ($)]])+Table143812[[#This Row],[Region 2: Fixed Fee Per Case ($)]]</f>
        <v>0</v>
      </c>
      <c r="W6" s="71" t="e">
        <f>(Table143812[[#This Row],[Commercial Bid Price per case for NOI ($)]]+Table143812[[#This Row],[Region 2: Fixed Fee Per Case ($)]])/Table143812[[#This Row],['# of CN Servings per case]]</f>
        <v>#DIV/0!</v>
      </c>
      <c r="X6" s="72" t="e">
        <f>Table143812[[#This Row],[Total Cost Per Serving (O+Q)/J]]*Table143812[[#This Row],[Estimated Servings Annual]]</f>
        <v>#DIV/0!</v>
      </c>
    </row>
    <row r="7" spans="1:24" x14ac:dyDescent="0.35">
      <c r="A7" s="30" t="s">
        <v>161</v>
      </c>
      <c r="B7" s="28" t="s">
        <v>162</v>
      </c>
      <c r="C7" s="7" t="s">
        <v>13</v>
      </c>
      <c r="D7" s="7"/>
      <c r="E7" s="7"/>
      <c r="F7" s="7"/>
      <c r="G7" s="7"/>
      <c r="H7" s="7"/>
      <c r="I7" s="7"/>
      <c r="J7" s="7"/>
      <c r="K7" s="49">
        <v>1000000</v>
      </c>
      <c r="L7" s="7"/>
      <c r="M7" s="7"/>
      <c r="N7" s="7"/>
      <c r="O7" s="7"/>
      <c r="P7" s="7"/>
      <c r="Q7" s="7"/>
      <c r="R7" s="7"/>
      <c r="S7" s="70">
        <f>(Table143812[[#This Row],[Commercial Bid Price per case for NOI ($)]]-Table143812[[#This Row],[Pass-Thru Value per case ($)]])+Table143812[[#This Row],[Region 1: Fixed Fee Per Case ($)]]</f>
        <v>0</v>
      </c>
      <c r="T7" s="71" t="e">
        <f>(Table143812[[#This Row],[Commercial Bid Price per case for NOI ($)]]+Table143812[[#This Row],[Region 1: Fixed Fee Per Case ($)]])/Table143812[[#This Row],['# of CN Servings per case]]</f>
        <v>#DIV/0!</v>
      </c>
      <c r="U7" s="71" t="e">
        <f>Table143812[[#This Row],[Total Cost Per Serving (O+P)/J]]*Table143812[[#This Row],[Estimated Servings Annual]]</f>
        <v>#DIV/0!</v>
      </c>
      <c r="V7" s="70">
        <f>(Table143812[[#This Row],[Commercial Bid Price per case for NOI ($)]]-Table143812[[#This Row],[Pass-Thru Value per case ($)]])+Table143812[[#This Row],[Region 2: Fixed Fee Per Case ($)]]</f>
        <v>0</v>
      </c>
      <c r="W7" s="71" t="e">
        <f>(Table143812[[#This Row],[Commercial Bid Price per case for NOI ($)]]+Table143812[[#This Row],[Region 2: Fixed Fee Per Case ($)]])/Table143812[[#This Row],['# of CN Servings per case]]</f>
        <v>#DIV/0!</v>
      </c>
      <c r="X7" s="72" t="e">
        <f>Table143812[[#This Row],[Total Cost Per Serving (O+Q)/J]]*Table143812[[#This Row],[Estimated Servings Annual]]</f>
        <v>#DIV/0!</v>
      </c>
    </row>
    <row r="8" spans="1:24" x14ac:dyDescent="0.35">
      <c r="A8" s="30" t="s">
        <v>161</v>
      </c>
      <c r="B8" s="28" t="s">
        <v>162</v>
      </c>
      <c r="C8" s="7" t="s">
        <v>13</v>
      </c>
      <c r="D8" s="7"/>
      <c r="E8" s="7"/>
      <c r="F8" s="7"/>
      <c r="G8" s="7"/>
      <c r="H8" s="7"/>
      <c r="I8" s="7"/>
      <c r="J8" s="7"/>
      <c r="K8" s="49">
        <v>1000000</v>
      </c>
      <c r="L8" s="7"/>
      <c r="M8" s="7"/>
      <c r="N8" s="7"/>
      <c r="O8" s="7"/>
      <c r="P8" s="7"/>
      <c r="Q8" s="7"/>
      <c r="R8" s="7"/>
      <c r="S8" s="70">
        <f>(Table143812[[#This Row],[Commercial Bid Price per case for NOI ($)]]-Table143812[[#This Row],[Pass-Thru Value per case ($)]])+Table143812[[#This Row],[Region 1: Fixed Fee Per Case ($)]]</f>
        <v>0</v>
      </c>
      <c r="T8" s="71" t="e">
        <f>(Table143812[[#This Row],[Commercial Bid Price per case for NOI ($)]]+Table143812[[#This Row],[Region 1: Fixed Fee Per Case ($)]])/Table143812[[#This Row],['# of CN Servings per case]]</f>
        <v>#DIV/0!</v>
      </c>
      <c r="U8" s="71" t="e">
        <f>Table143812[[#This Row],[Total Cost Per Serving (O+P)/J]]*Table143812[[#This Row],[Estimated Servings Annual]]</f>
        <v>#DIV/0!</v>
      </c>
      <c r="V8" s="70">
        <f>(Table143812[[#This Row],[Commercial Bid Price per case for NOI ($)]]-Table143812[[#This Row],[Pass-Thru Value per case ($)]])+Table143812[[#This Row],[Region 2: Fixed Fee Per Case ($)]]</f>
        <v>0</v>
      </c>
      <c r="W8" s="71" t="e">
        <f>(Table143812[[#This Row],[Commercial Bid Price per case for NOI ($)]]+Table143812[[#This Row],[Region 2: Fixed Fee Per Case ($)]])/Table143812[[#This Row],['# of CN Servings per case]]</f>
        <v>#DIV/0!</v>
      </c>
      <c r="X8" s="72" t="e">
        <f>Table143812[[#This Row],[Total Cost Per Serving (O+Q)/J]]*Table143812[[#This Row],[Estimated Servings Annual]]</f>
        <v>#DIV/0!</v>
      </c>
    </row>
    <row r="9" spans="1:24" x14ac:dyDescent="0.35">
      <c r="A9" s="30" t="s">
        <v>161</v>
      </c>
      <c r="B9" s="28" t="s">
        <v>162</v>
      </c>
      <c r="C9" s="7" t="s">
        <v>13</v>
      </c>
      <c r="D9" s="7"/>
      <c r="E9" s="7"/>
      <c r="F9" s="7"/>
      <c r="G9" s="7"/>
      <c r="H9" s="7"/>
      <c r="I9" s="7"/>
      <c r="J9" s="7"/>
      <c r="K9" s="49">
        <v>1000000</v>
      </c>
      <c r="L9" s="7"/>
      <c r="M9" s="7"/>
      <c r="N9" s="7"/>
      <c r="O9" s="7"/>
      <c r="P9" s="7"/>
      <c r="Q9" s="7"/>
      <c r="R9" s="7"/>
      <c r="S9" s="70">
        <f>(Table143812[[#This Row],[Commercial Bid Price per case for NOI ($)]]-Table143812[[#This Row],[Pass-Thru Value per case ($)]])+Table143812[[#This Row],[Region 1: Fixed Fee Per Case ($)]]</f>
        <v>0</v>
      </c>
      <c r="T9" s="71" t="e">
        <f>(Table143812[[#This Row],[Commercial Bid Price per case for NOI ($)]]+Table143812[[#This Row],[Region 1: Fixed Fee Per Case ($)]])/Table143812[[#This Row],['# of CN Servings per case]]</f>
        <v>#DIV/0!</v>
      </c>
      <c r="U9" s="71" t="e">
        <f>Table143812[[#This Row],[Total Cost Per Serving (O+P)/J]]*Table143812[[#This Row],[Estimated Servings Annual]]</f>
        <v>#DIV/0!</v>
      </c>
      <c r="V9" s="70">
        <f>(Table143812[[#This Row],[Commercial Bid Price per case for NOI ($)]]-Table143812[[#This Row],[Pass-Thru Value per case ($)]])+Table143812[[#This Row],[Region 2: Fixed Fee Per Case ($)]]</f>
        <v>0</v>
      </c>
      <c r="W9" s="71" t="e">
        <f>(Table143812[[#This Row],[Commercial Bid Price per case for NOI ($)]]+Table143812[[#This Row],[Region 2: Fixed Fee Per Case ($)]])/Table143812[[#This Row],['# of CN Servings per case]]</f>
        <v>#DIV/0!</v>
      </c>
      <c r="X9" s="72" t="e">
        <f>Table143812[[#This Row],[Total Cost Per Serving (O+Q)/J]]*Table143812[[#This Row],[Estimated Servings Annual]]</f>
        <v>#DIV/0!</v>
      </c>
    </row>
    <row r="10" spans="1:24" ht="15" thickBot="1" x14ac:dyDescent="0.4">
      <c r="A10" s="30" t="s">
        <v>161</v>
      </c>
      <c r="B10" s="28" t="s">
        <v>162</v>
      </c>
      <c r="C10" s="8" t="s">
        <v>13</v>
      </c>
      <c r="D10" s="8"/>
      <c r="E10" s="8"/>
      <c r="F10" s="8"/>
      <c r="G10" s="8"/>
      <c r="H10" s="8"/>
      <c r="I10" s="8"/>
      <c r="J10" s="8"/>
      <c r="K10" s="50">
        <v>1000000</v>
      </c>
      <c r="L10" s="8"/>
      <c r="M10" s="8"/>
      <c r="N10" s="8"/>
      <c r="O10" s="8"/>
      <c r="P10" s="8"/>
      <c r="Q10" s="8"/>
      <c r="R10" s="8"/>
      <c r="S10" s="73">
        <f>(Table143812[[#This Row],[Commercial Bid Price per case for NOI ($)]]-Table143812[[#This Row],[Pass-Thru Value per case ($)]])+Table143812[[#This Row],[Region 1: Fixed Fee Per Case ($)]]</f>
        <v>0</v>
      </c>
      <c r="T10" s="74" t="e">
        <f>(Table143812[[#This Row],[Commercial Bid Price per case for NOI ($)]]+Table143812[[#This Row],[Region 1: Fixed Fee Per Case ($)]])/Table143812[[#This Row],['# of CN Servings per case]]</f>
        <v>#DIV/0!</v>
      </c>
      <c r="U10" s="74" t="e">
        <f>Table143812[[#This Row],[Total Cost Per Serving (O+P)/J]]*Table143812[[#This Row],[Estimated Servings Annual]]</f>
        <v>#DIV/0!</v>
      </c>
      <c r="V10" s="73">
        <f>(Table143812[[#This Row],[Commercial Bid Price per case for NOI ($)]]-Table143812[[#This Row],[Pass-Thru Value per case ($)]])+Table143812[[#This Row],[Region 2: Fixed Fee Per Case ($)]]</f>
        <v>0</v>
      </c>
      <c r="W10" s="74" t="e">
        <f>(Table143812[[#This Row],[Commercial Bid Price per case for NOI ($)]]+Table143812[[#This Row],[Region 2: Fixed Fee Per Case ($)]])/Table143812[[#This Row],['# of CN Servings per case]]</f>
        <v>#DIV/0!</v>
      </c>
      <c r="X10" s="75" t="e">
        <f>Table143812[[#This Row],[Total Cost Per Serving (O+Q)/J]]*Table143812[[#This Row],[Estimated Servings Annual]]</f>
        <v>#DIV/0!</v>
      </c>
    </row>
    <row r="11" spans="1:24" x14ac:dyDescent="0.35">
      <c r="A11" s="30" t="s">
        <v>161</v>
      </c>
      <c r="B11" s="42" t="s">
        <v>163</v>
      </c>
      <c r="C11" s="6" t="s">
        <v>57</v>
      </c>
      <c r="D11" s="6"/>
      <c r="E11" s="6"/>
      <c r="F11" s="6"/>
      <c r="G11" s="6"/>
      <c r="H11" s="6"/>
      <c r="I11" s="6"/>
      <c r="J11" s="6"/>
      <c r="K11" s="48">
        <v>100000</v>
      </c>
      <c r="L11" s="6"/>
      <c r="M11" s="6"/>
      <c r="N11" s="6"/>
      <c r="O11" s="6"/>
      <c r="P11" s="6"/>
      <c r="Q11" s="6"/>
      <c r="R11" s="6"/>
      <c r="S11" s="67">
        <f>(Table143812[[#This Row],[Commercial Bid Price per case for NOI ($)]]-Table143812[[#This Row],[Pass-Thru Value per case ($)]])+Table143812[[#This Row],[Region 1: Fixed Fee Per Case ($)]]</f>
        <v>0</v>
      </c>
      <c r="T11" s="68" t="e">
        <f>(Table143812[[#This Row],[Commercial Bid Price per case for NOI ($)]]+Table143812[[#This Row],[Region 1: Fixed Fee Per Case ($)]])/Table143812[[#This Row],['# of CN Servings per case]]</f>
        <v>#DIV/0!</v>
      </c>
      <c r="U11" s="68" t="e">
        <f>Table143812[[#This Row],[Total Cost Per Serving (O+P)/J]]*Table143812[[#This Row],[Estimated Servings Annual]]</f>
        <v>#DIV/0!</v>
      </c>
      <c r="V11" s="67">
        <f>(Table143812[[#This Row],[Commercial Bid Price per case for NOI ($)]]-Table143812[[#This Row],[Pass-Thru Value per case ($)]])+Table143812[[#This Row],[Region 2: Fixed Fee Per Case ($)]]</f>
        <v>0</v>
      </c>
      <c r="W11" s="68" t="e">
        <f>(Table143812[[#This Row],[Commercial Bid Price per case for NOI ($)]]+Table143812[[#This Row],[Region 2: Fixed Fee Per Case ($)]])/Table143812[[#This Row],['# of CN Servings per case]]</f>
        <v>#DIV/0!</v>
      </c>
      <c r="X11" s="69" t="e">
        <f>Table143812[[#This Row],[Total Cost Per Serving (O+Q)/J]]*Table143812[[#This Row],[Estimated Servings Annual]]</f>
        <v>#DIV/0!</v>
      </c>
    </row>
    <row r="12" spans="1:24" x14ac:dyDescent="0.35">
      <c r="A12" s="30" t="s">
        <v>161</v>
      </c>
      <c r="B12" s="28" t="s">
        <v>163</v>
      </c>
      <c r="C12" s="7" t="s">
        <v>57</v>
      </c>
      <c r="D12" s="7"/>
      <c r="E12" s="7"/>
      <c r="F12" s="7"/>
      <c r="G12" s="7"/>
      <c r="H12" s="7"/>
      <c r="I12" s="7"/>
      <c r="J12" s="7"/>
      <c r="K12" s="49">
        <v>100000</v>
      </c>
      <c r="L12" s="7"/>
      <c r="M12" s="7"/>
      <c r="N12" s="7"/>
      <c r="O12" s="7"/>
      <c r="P12" s="7"/>
      <c r="Q12" s="7"/>
      <c r="R12" s="7"/>
      <c r="S12" s="70">
        <f>(Table143812[[#This Row],[Commercial Bid Price per case for NOI ($)]]-Table143812[[#This Row],[Pass-Thru Value per case ($)]])+Table143812[[#This Row],[Region 1: Fixed Fee Per Case ($)]]</f>
        <v>0</v>
      </c>
      <c r="T12" s="71" t="e">
        <f>(Table143812[[#This Row],[Commercial Bid Price per case for NOI ($)]]+Table143812[[#This Row],[Region 1: Fixed Fee Per Case ($)]])/Table143812[[#This Row],['# of CN Servings per case]]</f>
        <v>#DIV/0!</v>
      </c>
      <c r="U12" s="71" t="e">
        <f>Table143812[[#This Row],[Total Cost Per Serving (O+P)/J]]*Table143812[[#This Row],[Estimated Servings Annual]]</f>
        <v>#DIV/0!</v>
      </c>
      <c r="V12" s="70">
        <f>(Table143812[[#This Row],[Commercial Bid Price per case for NOI ($)]]-Table143812[[#This Row],[Pass-Thru Value per case ($)]])+Table143812[[#This Row],[Region 2: Fixed Fee Per Case ($)]]</f>
        <v>0</v>
      </c>
      <c r="W12" s="71" t="e">
        <f>(Table143812[[#This Row],[Commercial Bid Price per case for NOI ($)]]+Table143812[[#This Row],[Region 2: Fixed Fee Per Case ($)]])/Table143812[[#This Row],['# of CN Servings per case]]</f>
        <v>#DIV/0!</v>
      </c>
      <c r="X12" s="72" t="e">
        <f>Table143812[[#This Row],[Total Cost Per Serving (O+Q)/J]]*Table143812[[#This Row],[Estimated Servings Annual]]</f>
        <v>#DIV/0!</v>
      </c>
    </row>
    <row r="13" spans="1:24" x14ac:dyDescent="0.35">
      <c r="A13" s="30" t="s">
        <v>161</v>
      </c>
      <c r="B13" s="28" t="s">
        <v>163</v>
      </c>
      <c r="C13" s="7" t="s">
        <v>13</v>
      </c>
      <c r="D13" s="7"/>
      <c r="E13" s="7"/>
      <c r="F13" s="7"/>
      <c r="G13" s="7"/>
      <c r="H13" s="7"/>
      <c r="I13" s="7"/>
      <c r="J13" s="7"/>
      <c r="K13" s="49">
        <v>100000</v>
      </c>
      <c r="L13" s="7"/>
      <c r="M13" s="7"/>
      <c r="N13" s="7"/>
      <c r="O13" s="7"/>
      <c r="P13" s="7"/>
      <c r="Q13" s="7"/>
      <c r="R13" s="7"/>
      <c r="S13" s="70">
        <f>(Table143812[[#This Row],[Commercial Bid Price per case for NOI ($)]]-Table143812[[#This Row],[Pass-Thru Value per case ($)]])+Table143812[[#This Row],[Region 1: Fixed Fee Per Case ($)]]</f>
        <v>0</v>
      </c>
      <c r="T13" s="71" t="e">
        <f>(Table143812[[#This Row],[Commercial Bid Price per case for NOI ($)]]+Table143812[[#This Row],[Region 1: Fixed Fee Per Case ($)]])/Table143812[[#This Row],['# of CN Servings per case]]</f>
        <v>#DIV/0!</v>
      </c>
      <c r="U13" s="71" t="e">
        <f>Table143812[[#This Row],[Total Cost Per Serving (O+P)/J]]*Table143812[[#This Row],[Estimated Servings Annual]]</f>
        <v>#DIV/0!</v>
      </c>
      <c r="V13" s="70">
        <f>(Table143812[[#This Row],[Commercial Bid Price per case for NOI ($)]]-Table143812[[#This Row],[Pass-Thru Value per case ($)]])+Table143812[[#This Row],[Region 2: Fixed Fee Per Case ($)]]</f>
        <v>0</v>
      </c>
      <c r="W13" s="71" t="e">
        <f>(Table143812[[#This Row],[Commercial Bid Price per case for NOI ($)]]+Table143812[[#This Row],[Region 2: Fixed Fee Per Case ($)]])/Table143812[[#This Row],['# of CN Servings per case]]</f>
        <v>#DIV/0!</v>
      </c>
      <c r="X13" s="72" t="e">
        <f>Table143812[[#This Row],[Total Cost Per Serving (O+Q)/J]]*Table143812[[#This Row],[Estimated Servings Annual]]</f>
        <v>#DIV/0!</v>
      </c>
    </row>
    <row r="14" spans="1:24" x14ac:dyDescent="0.35">
      <c r="A14" s="30" t="s">
        <v>161</v>
      </c>
      <c r="B14" s="28" t="s">
        <v>163</v>
      </c>
      <c r="C14" s="7" t="s">
        <v>13</v>
      </c>
      <c r="D14" s="7"/>
      <c r="E14" s="7"/>
      <c r="F14" s="7"/>
      <c r="G14" s="7"/>
      <c r="H14" s="7"/>
      <c r="I14" s="7"/>
      <c r="J14" s="7"/>
      <c r="K14" s="49">
        <v>100000</v>
      </c>
      <c r="L14" s="7"/>
      <c r="M14" s="7"/>
      <c r="N14" s="7"/>
      <c r="O14" s="7"/>
      <c r="P14" s="7"/>
      <c r="Q14" s="7"/>
      <c r="R14" s="7"/>
      <c r="S14" s="70">
        <f>(Table143812[[#This Row],[Commercial Bid Price per case for NOI ($)]]-Table143812[[#This Row],[Pass-Thru Value per case ($)]])+Table143812[[#This Row],[Region 1: Fixed Fee Per Case ($)]]</f>
        <v>0</v>
      </c>
      <c r="T14" s="71" t="e">
        <f>(Table143812[[#This Row],[Commercial Bid Price per case for NOI ($)]]+Table143812[[#This Row],[Region 1: Fixed Fee Per Case ($)]])/Table143812[[#This Row],['# of CN Servings per case]]</f>
        <v>#DIV/0!</v>
      </c>
      <c r="U14" s="71" t="e">
        <f>Table143812[[#This Row],[Total Cost Per Serving (O+P)/J]]*Table143812[[#This Row],[Estimated Servings Annual]]</f>
        <v>#DIV/0!</v>
      </c>
      <c r="V14" s="70">
        <f>(Table143812[[#This Row],[Commercial Bid Price per case for NOI ($)]]-Table143812[[#This Row],[Pass-Thru Value per case ($)]])+Table143812[[#This Row],[Region 2: Fixed Fee Per Case ($)]]</f>
        <v>0</v>
      </c>
      <c r="W14" s="71" t="e">
        <f>(Table143812[[#This Row],[Commercial Bid Price per case for NOI ($)]]+Table143812[[#This Row],[Region 2: Fixed Fee Per Case ($)]])/Table143812[[#This Row],['# of CN Servings per case]]</f>
        <v>#DIV/0!</v>
      </c>
      <c r="X14" s="72" t="e">
        <f>Table143812[[#This Row],[Total Cost Per Serving (O+Q)/J]]*Table143812[[#This Row],[Estimated Servings Annual]]</f>
        <v>#DIV/0!</v>
      </c>
    </row>
    <row r="15" spans="1:24" x14ac:dyDescent="0.35">
      <c r="A15" s="30" t="s">
        <v>161</v>
      </c>
      <c r="B15" s="28" t="s">
        <v>163</v>
      </c>
      <c r="C15" s="7" t="s">
        <v>13</v>
      </c>
      <c r="D15" s="7"/>
      <c r="E15" s="7"/>
      <c r="F15" s="7"/>
      <c r="G15" s="7"/>
      <c r="H15" s="7"/>
      <c r="I15" s="7"/>
      <c r="J15" s="7"/>
      <c r="K15" s="49">
        <v>100000</v>
      </c>
      <c r="L15" s="7"/>
      <c r="M15" s="7"/>
      <c r="N15" s="7"/>
      <c r="O15" s="7"/>
      <c r="P15" s="7"/>
      <c r="Q15" s="7"/>
      <c r="R15" s="7"/>
      <c r="S15" s="70">
        <f>(Table143812[[#This Row],[Commercial Bid Price per case for NOI ($)]]-Table143812[[#This Row],[Pass-Thru Value per case ($)]])+Table143812[[#This Row],[Region 1: Fixed Fee Per Case ($)]]</f>
        <v>0</v>
      </c>
      <c r="T15" s="71" t="e">
        <f>(Table143812[[#This Row],[Commercial Bid Price per case for NOI ($)]]+Table143812[[#This Row],[Region 1: Fixed Fee Per Case ($)]])/Table143812[[#This Row],['# of CN Servings per case]]</f>
        <v>#DIV/0!</v>
      </c>
      <c r="U15" s="71" t="e">
        <f>Table143812[[#This Row],[Total Cost Per Serving (O+P)/J]]*Table143812[[#This Row],[Estimated Servings Annual]]</f>
        <v>#DIV/0!</v>
      </c>
      <c r="V15" s="70">
        <f>(Table143812[[#This Row],[Commercial Bid Price per case for NOI ($)]]-Table143812[[#This Row],[Pass-Thru Value per case ($)]])+Table143812[[#This Row],[Region 2: Fixed Fee Per Case ($)]]</f>
        <v>0</v>
      </c>
      <c r="W15" s="71" t="e">
        <f>(Table143812[[#This Row],[Commercial Bid Price per case for NOI ($)]]+Table143812[[#This Row],[Region 2: Fixed Fee Per Case ($)]])/Table143812[[#This Row],['# of CN Servings per case]]</f>
        <v>#DIV/0!</v>
      </c>
      <c r="X15" s="72" t="e">
        <f>Table143812[[#This Row],[Total Cost Per Serving (O+Q)/J]]*Table143812[[#This Row],[Estimated Servings Annual]]</f>
        <v>#DIV/0!</v>
      </c>
    </row>
    <row r="16" spans="1:24" x14ac:dyDescent="0.35">
      <c r="A16" s="30" t="s">
        <v>161</v>
      </c>
      <c r="B16" s="28" t="s">
        <v>163</v>
      </c>
      <c r="C16" s="7" t="s">
        <v>13</v>
      </c>
      <c r="D16" s="7"/>
      <c r="E16" s="7"/>
      <c r="F16" s="7"/>
      <c r="G16" s="7"/>
      <c r="H16" s="7"/>
      <c r="I16" s="7"/>
      <c r="J16" s="7"/>
      <c r="K16" s="49">
        <v>100000</v>
      </c>
      <c r="L16" s="7"/>
      <c r="M16" s="7"/>
      <c r="N16" s="7"/>
      <c r="O16" s="7"/>
      <c r="P16" s="7"/>
      <c r="Q16" s="7"/>
      <c r="R16" s="7"/>
      <c r="S16" s="70">
        <f>(Table143812[[#This Row],[Commercial Bid Price per case for NOI ($)]]-Table143812[[#This Row],[Pass-Thru Value per case ($)]])+Table143812[[#This Row],[Region 1: Fixed Fee Per Case ($)]]</f>
        <v>0</v>
      </c>
      <c r="T16" s="71" t="e">
        <f>(Table143812[[#This Row],[Commercial Bid Price per case for NOI ($)]]+Table143812[[#This Row],[Region 1: Fixed Fee Per Case ($)]])/Table143812[[#This Row],['# of CN Servings per case]]</f>
        <v>#DIV/0!</v>
      </c>
      <c r="U16" s="71" t="e">
        <f>Table143812[[#This Row],[Total Cost Per Serving (O+P)/J]]*Table143812[[#This Row],[Estimated Servings Annual]]</f>
        <v>#DIV/0!</v>
      </c>
      <c r="V16" s="70">
        <f>(Table143812[[#This Row],[Commercial Bid Price per case for NOI ($)]]-Table143812[[#This Row],[Pass-Thru Value per case ($)]])+Table143812[[#This Row],[Region 2: Fixed Fee Per Case ($)]]</f>
        <v>0</v>
      </c>
      <c r="W16" s="71" t="e">
        <f>(Table143812[[#This Row],[Commercial Bid Price per case for NOI ($)]]+Table143812[[#This Row],[Region 2: Fixed Fee Per Case ($)]])/Table143812[[#This Row],['# of CN Servings per case]]</f>
        <v>#DIV/0!</v>
      </c>
      <c r="X16" s="72" t="e">
        <f>Table143812[[#This Row],[Total Cost Per Serving (O+Q)/J]]*Table143812[[#This Row],[Estimated Servings Annual]]</f>
        <v>#DIV/0!</v>
      </c>
    </row>
    <row r="17" spans="1:24" x14ac:dyDescent="0.35">
      <c r="A17" s="30" t="s">
        <v>161</v>
      </c>
      <c r="B17" s="28" t="s">
        <v>163</v>
      </c>
      <c r="C17" s="7" t="s">
        <v>13</v>
      </c>
      <c r="D17" s="7"/>
      <c r="E17" s="7"/>
      <c r="F17" s="7"/>
      <c r="G17" s="7"/>
      <c r="H17" s="7"/>
      <c r="I17" s="7"/>
      <c r="J17" s="7"/>
      <c r="K17" s="49">
        <v>100000</v>
      </c>
      <c r="L17" s="7"/>
      <c r="M17" s="7"/>
      <c r="N17" s="7"/>
      <c r="O17" s="7"/>
      <c r="P17" s="7"/>
      <c r="Q17" s="7"/>
      <c r="R17" s="7"/>
      <c r="S17" s="70">
        <f>(Table143812[[#This Row],[Commercial Bid Price per case for NOI ($)]]-Table143812[[#This Row],[Pass-Thru Value per case ($)]])+Table143812[[#This Row],[Region 1: Fixed Fee Per Case ($)]]</f>
        <v>0</v>
      </c>
      <c r="T17" s="71" t="e">
        <f>(Table143812[[#This Row],[Commercial Bid Price per case for NOI ($)]]+Table143812[[#This Row],[Region 1: Fixed Fee Per Case ($)]])/Table143812[[#This Row],['# of CN Servings per case]]</f>
        <v>#DIV/0!</v>
      </c>
      <c r="U17" s="71" t="e">
        <f>Table143812[[#This Row],[Total Cost Per Serving (O+P)/J]]*Table143812[[#This Row],[Estimated Servings Annual]]</f>
        <v>#DIV/0!</v>
      </c>
      <c r="V17" s="70">
        <f>(Table143812[[#This Row],[Commercial Bid Price per case for NOI ($)]]-Table143812[[#This Row],[Pass-Thru Value per case ($)]])+Table143812[[#This Row],[Region 2: Fixed Fee Per Case ($)]]</f>
        <v>0</v>
      </c>
      <c r="W17" s="71" t="e">
        <f>(Table143812[[#This Row],[Commercial Bid Price per case for NOI ($)]]+Table143812[[#This Row],[Region 2: Fixed Fee Per Case ($)]])/Table143812[[#This Row],['# of CN Servings per case]]</f>
        <v>#DIV/0!</v>
      </c>
      <c r="X17" s="72" t="e">
        <f>Table143812[[#This Row],[Total Cost Per Serving (O+Q)/J]]*Table143812[[#This Row],[Estimated Servings Annual]]</f>
        <v>#DIV/0!</v>
      </c>
    </row>
    <row r="18" spans="1:24" ht="15" thickBot="1" x14ac:dyDescent="0.4">
      <c r="A18" s="30" t="s">
        <v>161</v>
      </c>
      <c r="B18" s="28" t="s">
        <v>163</v>
      </c>
      <c r="C18" s="8" t="s">
        <v>13</v>
      </c>
      <c r="D18" s="8"/>
      <c r="E18" s="8"/>
      <c r="F18" s="8"/>
      <c r="G18" s="8"/>
      <c r="H18" s="8"/>
      <c r="I18" s="8"/>
      <c r="J18" s="8"/>
      <c r="K18" s="50">
        <v>100000</v>
      </c>
      <c r="L18" s="8"/>
      <c r="M18" s="8"/>
      <c r="N18" s="8"/>
      <c r="O18" s="8"/>
      <c r="P18" s="8"/>
      <c r="Q18" s="8"/>
      <c r="R18" s="8"/>
      <c r="S18" s="73">
        <f>(Table143812[[#This Row],[Commercial Bid Price per case for NOI ($)]]-Table143812[[#This Row],[Pass-Thru Value per case ($)]])+Table143812[[#This Row],[Region 1: Fixed Fee Per Case ($)]]</f>
        <v>0</v>
      </c>
      <c r="T18" s="74" t="e">
        <f>(Table143812[[#This Row],[Commercial Bid Price per case for NOI ($)]]+Table143812[[#This Row],[Region 1: Fixed Fee Per Case ($)]])/Table143812[[#This Row],['# of CN Servings per case]]</f>
        <v>#DIV/0!</v>
      </c>
      <c r="U18" s="74" t="e">
        <f>Table143812[[#This Row],[Total Cost Per Serving (O+P)/J]]*Table143812[[#This Row],[Estimated Servings Annual]]</f>
        <v>#DIV/0!</v>
      </c>
      <c r="V18" s="73">
        <f>(Table143812[[#This Row],[Commercial Bid Price per case for NOI ($)]]-Table143812[[#This Row],[Pass-Thru Value per case ($)]])+Table143812[[#This Row],[Region 2: Fixed Fee Per Case ($)]]</f>
        <v>0</v>
      </c>
      <c r="W18" s="74" t="e">
        <f>(Table143812[[#This Row],[Commercial Bid Price per case for NOI ($)]]+Table143812[[#This Row],[Region 2: Fixed Fee Per Case ($)]])/Table143812[[#This Row],['# of CN Servings per case]]</f>
        <v>#DIV/0!</v>
      </c>
      <c r="X18" s="75" t="e">
        <f>Table143812[[#This Row],[Total Cost Per Serving (O+Q)/J]]*Table143812[[#This Row],[Estimated Servings Annual]]</f>
        <v>#DIV/0!</v>
      </c>
    </row>
    <row r="19" spans="1:24" x14ac:dyDescent="0.35">
      <c r="A19" s="30" t="s">
        <v>161</v>
      </c>
      <c r="B19" s="42" t="s">
        <v>164</v>
      </c>
      <c r="C19" s="6" t="s">
        <v>57</v>
      </c>
      <c r="D19" s="6"/>
      <c r="E19" s="6"/>
      <c r="F19" s="6"/>
      <c r="G19" s="6"/>
      <c r="H19" s="6"/>
      <c r="I19" s="6"/>
      <c r="J19" s="6"/>
      <c r="K19" s="48">
        <v>100000</v>
      </c>
      <c r="L19" s="6"/>
      <c r="M19" s="6"/>
      <c r="N19" s="6"/>
      <c r="O19" s="6"/>
      <c r="P19" s="6"/>
      <c r="Q19" s="6"/>
      <c r="R19" s="6"/>
      <c r="S19" s="67">
        <f>(Table143812[[#This Row],[Commercial Bid Price per case for NOI ($)]]-Table143812[[#This Row],[Pass-Thru Value per case ($)]])+Table143812[[#This Row],[Region 1: Fixed Fee Per Case ($)]]</f>
        <v>0</v>
      </c>
      <c r="T19" s="68" t="e">
        <f>(Table143812[[#This Row],[Commercial Bid Price per case for NOI ($)]]+Table143812[[#This Row],[Region 1: Fixed Fee Per Case ($)]])/Table143812[[#This Row],['# of CN Servings per case]]</f>
        <v>#DIV/0!</v>
      </c>
      <c r="U19" s="68" t="e">
        <f>Table143812[[#This Row],[Total Cost Per Serving (O+P)/J]]*Table143812[[#This Row],[Estimated Servings Annual]]</f>
        <v>#DIV/0!</v>
      </c>
      <c r="V19" s="67">
        <f>(Table143812[[#This Row],[Commercial Bid Price per case for NOI ($)]]-Table143812[[#This Row],[Pass-Thru Value per case ($)]])+Table143812[[#This Row],[Region 2: Fixed Fee Per Case ($)]]</f>
        <v>0</v>
      </c>
      <c r="W19" s="68" t="e">
        <f>(Table143812[[#This Row],[Commercial Bid Price per case for NOI ($)]]+Table143812[[#This Row],[Region 2: Fixed Fee Per Case ($)]])/Table143812[[#This Row],['# of CN Servings per case]]</f>
        <v>#DIV/0!</v>
      </c>
      <c r="X19" s="69" t="e">
        <f>Table143812[[#This Row],[Total Cost Per Serving (O+Q)/J]]*Table143812[[#This Row],[Estimated Servings Annual]]</f>
        <v>#DIV/0!</v>
      </c>
    </row>
    <row r="20" spans="1:24" x14ac:dyDescent="0.35">
      <c r="A20" s="30" t="s">
        <v>161</v>
      </c>
      <c r="B20" s="28" t="s">
        <v>164</v>
      </c>
      <c r="C20" s="7" t="s">
        <v>57</v>
      </c>
      <c r="D20" s="7"/>
      <c r="E20" s="7"/>
      <c r="F20" s="7"/>
      <c r="G20" s="7"/>
      <c r="H20" s="7"/>
      <c r="I20" s="7"/>
      <c r="J20" s="7"/>
      <c r="K20" s="49">
        <v>100000</v>
      </c>
      <c r="L20" s="7"/>
      <c r="M20" s="7"/>
      <c r="N20" s="7"/>
      <c r="O20" s="7"/>
      <c r="P20" s="7"/>
      <c r="Q20" s="7"/>
      <c r="R20" s="7"/>
      <c r="S20" s="70">
        <f>(Table143812[[#This Row],[Commercial Bid Price per case for NOI ($)]]-Table143812[[#This Row],[Pass-Thru Value per case ($)]])+Table143812[[#This Row],[Region 1: Fixed Fee Per Case ($)]]</f>
        <v>0</v>
      </c>
      <c r="T20" s="71" t="e">
        <f>(Table143812[[#This Row],[Commercial Bid Price per case for NOI ($)]]+Table143812[[#This Row],[Region 1: Fixed Fee Per Case ($)]])/Table143812[[#This Row],['# of CN Servings per case]]</f>
        <v>#DIV/0!</v>
      </c>
      <c r="U20" s="71" t="e">
        <f>Table143812[[#This Row],[Total Cost Per Serving (O+P)/J]]*Table143812[[#This Row],[Estimated Servings Annual]]</f>
        <v>#DIV/0!</v>
      </c>
      <c r="V20" s="70">
        <f>(Table143812[[#This Row],[Commercial Bid Price per case for NOI ($)]]-Table143812[[#This Row],[Pass-Thru Value per case ($)]])+Table143812[[#This Row],[Region 2: Fixed Fee Per Case ($)]]</f>
        <v>0</v>
      </c>
      <c r="W20" s="71" t="e">
        <f>(Table143812[[#This Row],[Commercial Bid Price per case for NOI ($)]]+Table143812[[#This Row],[Region 2: Fixed Fee Per Case ($)]])/Table143812[[#This Row],['# of CN Servings per case]]</f>
        <v>#DIV/0!</v>
      </c>
      <c r="X20" s="72" t="e">
        <f>Table143812[[#This Row],[Total Cost Per Serving (O+Q)/J]]*Table143812[[#This Row],[Estimated Servings Annual]]</f>
        <v>#DIV/0!</v>
      </c>
    </row>
    <row r="21" spans="1:24" x14ac:dyDescent="0.35">
      <c r="A21" s="30" t="s">
        <v>161</v>
      </c>
      <c r="B21" s="28" t="s">
        <v>164</v>
      </c>
      <c r="C21" s="7" t="s">
        <v>13</v>
      </c>
      <c r="D21" s="7"/>
      <c r="E21" s="7"/>
      <c r="F21" s="7"/>
      <c r="G21" s="7"/>
      <c r="H21" s="7"/>
      <c r="I21" s="7"/>
      <c r="J21" s="7"/>
      <c r="K21" s="49">
        <v>100000</v>
      </c>
      <c r="L21" s="7"/>
      <c r="M21" s="7"/>
      <c r="N21" s="7"/>
      <c r="O21" s="7"/>
      <c r="P21" s="7"/>
      <c r="Q21" s="7"/>
      <c r="R21" s="7"/>
      <c r="S21" s="70">
        <f>(Table143812[[#This Row],[Commercial Bid Price per case for NOI ($)]]-Table143812[[#This Row],[Pass-Thru Value per case ($)]])+Table143812[[#This Row],[Region 1: Fixed Fee Per Case ($)]]</f>
        <v>0</v>
      </c>
      <c r="T21" s="71" t="e">
        <f>(Table143812[[#This Row],[Commercial Bid Price per case for NOI ($)]]+Table143812[[#This Row],[Region 1: Fixed Fee Per Case ($)]])/Table143812[[#This Row],['# of CN Servings per case]]</f>
        <v>#DIV/0!</v>
      </c>
      <c r="U21" s="71" t="e">
        <f>Table143812[[#This Row],[Total Cost Per Serving (O+P)/J]]*Table143812[[#This Row],[Estimated Servings Annual]]</f>
        <v>#DIV/0!</v>
      </c>
      <c r="V21" s="70">
        <f>(Table143812[[#This Row],[Commercial Bid Price per case for NOI ($)]]-Table143812[[#This Row],[Pass-Thru Value per case ($)]])+Table143812[[#This Row],[Region 2: Fixed Fee Per Case ($)]]</f>
        <v>0</v>
      </c>
      <c r="W21" s="71" t="e">
        <f>(Table143812[[#This Row],[Commercial Bid Price per case for NOI ($)]]+Table143812[[#This Row],[Region 2: Fixed Fee Per Case ($)]])/Table143812[[#This Row],['# of CN Servings per case]]</f>
        <v>#DIV/0!</v>
      </c>
      <c r="X21" s="72" t="e">
        <f>Table143812[[#This Row],[Total Cost Per Serving (O+Q)/J]]*Table143812[[#This Row],[Estimated Servings Annual]]</f>
        <v>#DIV/0!</v>
      </c>
    </row>
    <row r="22" spans="1:24" x14ac:dyDescent="0.35">
      <c r="A22" s="30" t="s">
        <v>161</v>
      </c>
      <c r="B22" s="28" t="s">
        <v>164</v>
      </c>
      <c r="C22" s="7" t="s">
        <v>13</v>
      </c>
      <c r="D22" s="7"/>
      <c r="E22" s="7"/>
      <c r="F22" s="7"/>
      <c r="G22" s="7"/>
      <c r="H22" s="7"/>
      <c r="I22" s="7"/>
      <c r="J22" s="7"/>
      <c r="K22" s="49">
        <v>100000</v>
      </c>
      <c r="L22" s="7"/>
      <c r="M22" s="7"/>
      <c r="N22" s="7"/>
      <c r="O22" s="7"/>
      <c r="P22" s="7"/>
      <c r="Q22" s="7"/>
      <c r="R22" s="7"/>
      <c r="S22" s="70">
        <f>(Table143812[[#This Row],[Commercial Bid Price per case for NOI ($)]]-Table143812[[#This Row],[Pass-Thru Value per case ($)]])+Table143812[[#This Row],[Region 1: Fixed Fee Per Case ($)]]</f>
        <v>0</v>
      </c>
      <c r="T22" s="71" t="e">
        <f>(Table143812[[#This Row],[Commercial Bid Price per case for NOI ($)]]+Table143812[[#This Row],[Region 1: Fixed Fee Per Case ($)]])/Table143812[[#This Row],['# of CN Servings per case]]</f>
        <v>#DIV/0!</v>
      </c>
      <c r="U22" s="71" t="e">
        <f>Table143812[[#This Row],[Total Cost Per Serving (O+P)/J]]*Table143812[[#This Row],[Estimated Servings Annual]]</f>
        <v>#DIV/0!</v>
      </c>
      <c r="V22" s="70">
        <f>(Table143812[[#This Row],[Commercial Bid Price per case for NOI ($)]]-Table143812[[#This Row],[Pass-Thru Value per case ($)]])+Table143812[[#This Row],[Region 2: Fixed Fee Per Case ($)]]</f>
        <v>0</v>
      </c>
      <c r="W22" s="71" t="e">
        <f>(Table143812[[#This Row],[Commercial Bid Price per case for NOI ($)]]+Table143812[[#This Row],[Region 2: Fixed Fee Per Case ($)]])/Table143812[[#This Row],['# of CN Servings per case]]</f>
        <v>#DIV/0!</v>
      </c>
      <c r="X22" s="72" t="e">
        <f>Table143812[[#This Row],[Total Cost Per Serving (O+Q)/J]]*Table143812[[#This Row],[Estimated Servings Annual]]</f>
        <v>#DIV/0!</v>
      </c>
    </row>
    <row r="23" spans="1:24" x14ac:dyDescent="0.35">
      <c r="A23" s="30" t="s">
        <v>161</v>
      </c>
      <c r="B23" s="28" t="s">
        <v>164</v>
      </c>
      <c r="C23" s="7" t="s">
        <v>13</v>
      </c>
      <c r="D23" s="7"/>
      <c r="E23" s="7"/>
      <c r="F23" s="7"/>
      <c r="G23" s="7"/>
      <c r="H23" s="7"/>
      <c r="I23" s="7"/>
      <c r="J23" s="7"/>
      <c r="K23" s="49">
        <v>100000</v>
      </c>
      <c r="L23" s="7"/>
      <c r="M23" s="7"/>
      <c r="N23" s="7"/>
      <c r="O23" s="7"/>
      <c r="P23" s="7"/>
      <c r="Q23" s="7"/>
      <c r="R23" s="7"/>
      <c r="S23" s="70">
        <f>(Table143812[[#This Row],[Commercial Bid Price per case for NOI ($)]]-Table143812[[#This Row],[Pass-Thru Value per case ($)]])+Table143812[[#This Row],[Region 1: Fixed Fee Per Case ($)]]</f>
        <v>0</v>
      </c>
      <c r="T23" s="71" t="e">
        <f>(Table143812[[#This Row],[Commercial Bid Price per case for NOI ($)]]+Table143812[[#This Row],[Region 1: Fixed Fee Per Case ($)]])/Table143812[[#This Row],['# of CN Servings per case]]</f>
        <v>#DIV/0!</v>
      </c>
      <c r="U23" s="71" t="e">
        <f>Table143812[[#This Row],[Total Cost Per Serving (O+P)/J]]*Table143812[[#This Row],[Estimated Servings Annual]]</f>
        <v>#DIV/0!</v>
      </c>
      <c r="V23" s="70">
        <f>(Table143812[[#This Row],[Commercial Bid Price per case for NOI ($)]]-Table143812[[#This Row],[Pass-Thru Value per case ($)]])+Table143812[[#This Row],[Region 2: Fixed Fee Per Case ($)]]</f>
        <v>0</v>
      </c>
      <c r="W23" s="71" t="e">
        <f>(Table143812[[#This Row],[Commercial Bid Price per case for NOI ($)]]+Table143812[[#This Row],[Region 2: Fixed Fee Per Case ($)]])/Table143812[[#This Row],['# of CN Servings per case]]</f>
        <v>#DIV/0!</v>
      </c>
      <c r="X23" s="72" t="e">
        <f>Table143812[[#This Row],[Total Cost Per Serving (O+Q)/J]]*Table143812[[#This Row],[Estimated Servings Annual]]</f>
        <v>#DIV/0!</v>
      </c>
    </row>
    <row r="24" spans="1:24" x14ac:dyDescent="0.35">
      <c r="A24" s="30" t="s">
        <v>161</v>
      </c>
      <c r="B24" s="28" t="s">
        <v>164</v>
      </c>
      <c r="C24" s="7" t="s">
        <v>13</v>
      </c>
      <c r="D24" s="7"/>
      <c r="E24" s="7"/>
      <c r="F24" s="7"/>
      <c r="G24" s="7"/>
      <c r="H24" s="7"/>
      <c r="I24" s="7"/>
      <c r="J24" s="7"/>
      <c r="K24" s="49">
        <v>100000</v>
      </c>
      <c r="L24" s="7"/>
      <c r="M24" s="7"/>
      <c r="N24" s="7"/>
      <c r="O24" s="7"/>
      <c r="P24" s="7"/>
      <c r="Q24" s="7"/>
      <c r="R24" s="7"/>
      <c r="S24" s="70">
        <f>(Table143812[[#This Row],[Commercial Bid Price per case for NOI ($)]]-Table143812[[#This Row],[Pass-Thru Value per case ($)]])+Table143812[[#This Row],[Region 1: Fixed Fee Per Case ($)]]</f>
        <v>0</v>
      </c>
      <c r="T24" s="71" t="e">
        <f>(Table143812[[#This Row],[Commercial Bid Price per case for NOI ($)]]+Table143812[[#This Row],[Region 1: Fixed Fee Per Case ($)]])/Table143812[[#This Row],['# of CN Servings per case]]</f>
        <v>#DIV/0!</v>
      </c>
      <c r="U24" s="71" t="e">
        <f>Table143812[[#This Row],[Total Cost Per Serving (O+P)/J]]*Table143812[[#This Row],[Estimated Servings Annual]]</f>
        <v>#DIV/0!</v>
      </c>
      <c r="V24" s="70">
        <f>(Table143812[[#This Row],[Commercial Bid Price per case for NOI ($)]]-Table143812[[#This Row],[Pass-Thru Value per case ($)]])+Table143812[[#This Row],[Region 2: Fixed Fee Per Case ($)]]</f>
        <v>0</v>
      </c>
      <c r="W24" s="71" t="e">
        <f>(Table143812[[#This Row],[Commercial Bid Price per case for NOI ($)]]+Table143812[[#This Row],[Region 2: Fixed Fee Per Case ($)]])/Table143812[[#This Row],['# of CN Servings per case]]</f>
        <v>#DIV/0!</v>
      </c>
      <c r="X24" s="72" t="e">
        <f>Table143812[[#This Row],[Total Cost Per Serving (O+Q)/J]]*Table143812[[#This Row],[Estimated Servings Annual]]</f>
        <v>#DIV/0!</v>
      </c>
    </row>
    <row r="25" spans="1:24" x14ac:dyDescent="0.35">
      <c r="A25" s="30" t="s">
        <v>161</v>
      </c>
      <c r="B25" s="28" t="s">
        <v>164</v>
      </c>
      <c r="C25" s="7" t="s">
        <v>13</v>
      </c>
      <c r="D25" s="7"/>
      <c r="E25" s="7"/>
      <c r="F25" s="7"/>
      <c r="G25" s="7"/>
      <c r="H25" s="7"/>
      <c r="I25" s="7"/>
      <c r="J25" s="7"/>
      <c r="K25" s="49">
        <v>100000</v>
      </c>
      <c r="L25" s="7"/>
      <c r="M25" s="7"/>
      <c r="N25" s="7"/>
      <c r="O25" s="7"/>
      <c r="P25" s="7"/>
      <c r="Q25" s="7"/>
      <c r="R25" s="7"/>
      <c r="S25" s="70">
        <f>(Table143812[[#This Row],[Commercial Bid Price per case for NOI ($)]]-Table143812[[#This Row],[Pass-Thru Value per case ($)]])+Table143812[[#This Row],[Region 1: Fixed Fee Per Case ($)]]</f>
        <v>0</v>
      </c>
      <c r="T25" s="71" t="e">
        <f>(Table143812[[#This Row],[Commercial Bid Price per case for NOI ($)]]+Table143812[[#This Row],[Region 1: Fixed Fee Per Case ($)]])/Table143812[[#This Row],['# of CN Servings per case]]</f>
        <v>#DIV/0!</v>
      </c>
      <c r="U25" s="71" t="e">
        <f>Table143812[[#This Row],[Total Cost Per Serving (O+P)/J]]*Table143812[[#This Row],[Estimated Servings Annual]]</f>
        <v>#DIV/0!</v>
      </c>
      <c r="V25" s="70">
        <f>(Table143812[[#This Row],[Commercial Bid Price per case for NOI ($)]]-Table143812[[#This Row],[Pass-Thru Value per case ($)]])+Table143812[[#This Row],[Region 2: Fixed Fee Per Case ($)]]</f>
        <v>0</v>
      </c>
      <c r="W25" s="71" t="e">
        <f>(Table143812[[#This Row],[Commercial Bid Price per case for NOI ($)]]+Table143812[[#This Row],[Region 2: Fixed Fee Per Case ($)]])/Table143812[[#This Row],['# of CN Servings per case]]</f>
        <v>#DIV/0!</v>
      </c>
      <c r="X25" s="72" t="e">
        <f>Table143812[[#This Row],[Total Cost Per Serving (O+Q)/J]]*Table143812[[#This Row],[Estimated Servings Annual]]</f>
        <v>#DIV/0!</v>
      </c>
    </row>
    <row r="26" spans="1:24" ht="15" thickBot="1" x14ac:dyDescent="0.4">
      <c r="A26" s="30" t="s">
        <v>161</v>
      </c>
      <c r="B26" s="28" t="s">
        <v>164</v>
      </c>
      <c r="C26" s="8" t="s">
        <v>13</v>
      </c>
      <c r="D26" s="8"/>
      <c r="E26" s="8"/>
      <c r="F26" s="8"/>
      <c r="G26" s="8"/>
      <c r="H26" s="8"/>
      <c r="I26" s="8"/>
      <c r="J26" s="8"/>
      <c r="K26" s="50">
        <v>100000</v>
      </c>
      <c r="L26" s="8"/>
      <c r="M26" s="8"/>
      <c r="N26" s="8"/>
      <c r="O26" s="8"/>
      <c r="P26" s="8"/>
      <c r="Q26" s="8"/>
      <c r="R26" s="8"/>
      <c r="S26" s="73">
        <f>(Table143812[[#This Row],[Commercial Bid Price per case for NOI ($)]]-Table143812[[#This Row],[Pass-Thru Value per case ($)]])+Table143812[[#This Row],[Region 1: Fixed Fee Per Case ($)]]</f>
        <v>0</v>
      </c>
      <c r="T26" s="74" t="e">
        <f>(Table143812[[#This Row],[Commercial Bid Price per case for NOI ($)]]+Table143812[[#This Row],[Region 1: Fixed Fee Per Case ($)]])/Table143812[[#This Row],['# of CN Servings per case]]</f>
        <v>#DIV/0!</v>
      </c>
      <c r="U26" s="74" t="e">
        <f>Table143812[[#This Row],[Total Cost Per Serving (O+P)/J]]*Table143812[[#This Row],[Estimated Servings Annual]]</f>
        <v>#DIV/0!</v>
      </c>
      <c r="V26" s="73">
        <f>(Table143812[[#This Row],[Commercial Bid Price per case for NOI ($)]]-Table143812[[#This Row],[Pass-Thru Value per case ($)]])+Table143812[[#This Row],[Region 2: Fixed Fee Per Case ($)]]</f>
        <v>0</v>
      </c>
      <c r="W26" s="74" t="e">
        <f>(Table143812[[#This Row],[Commercial Bid Price per case for NOI ($)]]+Table143812[[#This Row],[Region 2: Fixed Fee Per Case ($)]])/Table143812[[#This Row],['# of CN Servings per case]]</f>
        <v>#DIV/0!</v>
      </c>
      <c r="X26" s="75" t="e">
        <f>Table143812[[#This Row],[Total Cost Per Serving (O+Q)/J]]*Table143812[[#This Row],[Estimated Servings Annual]]</f>
        <v>#DIV/0!</v>
      </c>
    </row>
    <row r="27" spans="1:24" x14ac:dyDescent="0.35">
      <c r="A27" s="30" t="s">
        <v>161</v>
      </c>
      <c r="B27" s="42" t="s">
        <v>165</v>
      </c>
      <c r="C27" s="6" t="s">
        <v>57</v>
      </c>
      <c r="D27" s="6"/>
      <c r="E27" s="6"/>
      <c r="F27" s="6"/>
      <c r="G27" s="6"/>
      <c r="H27" s="6"/>
      <c r="I27" s="6"/>
      <c r="J27" s="6"/>
      <c r="K27" s="48">
        <v>90000</v>
      </c>
      <c r="L27" s="6"/>
      <c r="M27" s="6"/>
      <c r="N27" s="6"/>
      <c r="O27" s="6"/>
      <c r="P27" s="6"/>
      <c r="Q27" s="6"/>
      <c r="R27" s="6"/>
      <c r="S27" s="67">
        <f>(Table143812[[#This Row],[Commercial Bid Price per case for NOI ($)]]-Table143812[[#This Row],[Pass-Thru Value per case ($)]])+Table143812[[#This Row],[Region 1: Fixed Fee Per Case ($)]]</f>
        <v>0</v>
      </c>
      <c r="T27" s="68" t="e">
        <f>(Table143812[[#This Row],[Commercial Bid Price per case for NOI ($)]]+Table143812[[#This Row],[Region 1: Fixed Fee Per Case ($)]])/Table143812[[#This Row],['# of CN Servings per case]]</f>
        <v>#DIV/0!</v>
      </c>
      <c r="U27" s="68" t="e">
        <f>Table143812[[#This Row],[Total Cost Per Serving (O+P)/J]]*Table143812[[#This Row],[Estimated Servings Annual]]</f>
        <v>#DIV/0!</v>
      </c>
      <c r="V27" s="67">
        <f>(Table143812[[#This Row],[Commercial Bid Price per case for NOI ($)]]-Table143812[[#This Row],[Pass-Thru Value per case ($)]])+Table143812[[#This Row],[Region 2: Fixed Fee Per Case ($)]]</f>
        <v>0</v>
      </c>
      <c r="W27" s="68" t="e">
        <f>(Table143812[[#This Row],[Commercial Bid Price per case for NOI ($)]]+Table143812[[#This Row],[Region 2: Fixed Fee Per Case ($)]])/Table143812[[#This Row],['# of CN Servings per case]]</f>
        <v>#DIV/0!</v>
      </c>
      <c r="X27" s="69" t="e">
        <f>Table143812[[#This Row],[Total Cost Per Serving (O+Q)/J]]*Table143812[[#This Row],[Estimated Servings Annual]]</f>
        <v>#DIV/0!</v>
      </c>
    </row>
    <row r="28" spans="1:24" x14ac:dyDescent="0.35">
      <c r="A28" s="30" t="s">
        <v>161</v>
      </c>
      <c r="B28" s="28" t="s">
        <v>165</v>
      </c>
      <c r="C28" s="7" t="s">
        <v>57</v>
      </c>
      <c r="D28" s="7"/>
      <c r="E28" s="7"/>
      <c r="F28" s="7"/>
      <c r="G28" s="7"/>
      <c r="H28" s="7"/>
      <c r="I28" s="7"/>
      <c r="J28" s="7"/>
      <c r="K28" s="49">
        <v>90000</v>
      </c>
      <c r="L28" s="7"/>
      <c r="M28" s="7"/>
      <c r="N28" s="7"/>
      <c r="O28" s="7"/>
      <c r="P28" s="7"/>
      <c r="Q28" s="7"/>
      <c r="R28" s="7"/>
      <c r="S28" s="70">
        <f>(Table143812[[#This Row],[Commercial Bid Price per case for NOI ($)]]-Table143812[[#This Row],[Pass-Thru Value per case ($)]])+Table143812[[#This Row],[Region 1: Fixed Fee Per Case ($)]]</f>
        <v>0</v>
      </c>
      <c r="T28" s="71" t="e">
        <f>(Table143812[[#This Row],[Commercial Bid Price per case for NOI ($)]]+Table143812[[#This Row],[Region 1: Fixed Fee Per Case ($)]])/Table143812[[#This Row],['# of CN Servings per case]]</f>
        <v>#DIV/0!</v>
      </c>
      <c r="U28" s="71" t="e">
        <f>Table143812[[#This Row],[Total Cost Per Serving (O+P)/J]]*Table143812[[#This Row],[Estimated Servings Annual]]</f>
        <v>#DIV/0!</v>
      </c>
      <c r="V28" s="70">
        <f>(Table143812[[#This Row],[Commercial Bid Price per case for NOI ($)]]-Table143812[[#This Row],[Pass-Thru Value per case ($)]])+Table143812[[#This Row],[Region 2: Fixed Fee Per Case ($)]]</f>
        <v>0</v>
      </c>
      <c r="W28" s="71" t="e">
        <f>(Table143812[[#This Row],[Commercial Bid Price per case for NOI ($)]]+Table143812[[#This Row],[Region 2: Fixed Fee Per Case ($)]])/Table143812[[#This Row],['# of CN Servings per case]]</f>
        <v>#DIV/0!</v>
      </c>
      <c r="X28" s="72" t="e">
        <f>Table143812[[#This Row],[Total Cost Per Serving (O+Q)/J]]*Table143812[[#This Row],[Estimated Servings Annual]]</f>
        <v>#DIV/0!</v>
      </c>
    </row>
    <row r="29" spans="1:24" x14ac:dyDescent="0.35">
      <c r="A29" s="30" t="s">
        <v>161</v>
      </c>
      <c r="B29" s="28" t="s">
        <v>165</v>
      </c>
      <c r="C29" s="7" t="s">
        <v>13</v>
      </c>
      <c r="D29" s="7"/>
      <c r="E29" s="7"/>
      <c r="F29" s="7"/>
      <c r="G29" s="7"/>
      <c r="H29" s="7"/>
      <c r="I29" s="7"/>
      <c r="J29" s="7"/>
      <c r="K29" s="49">
        <v>90000</v>
      </c>
      <c r="L29" s="7"/>
      <c r="M29" s="7"/>
      <c r="N29" s="7"/>
      <c r="O29" s="7"/>
      <c r="P29" s="7"/>
      <c r="Q29" s="7"/>
      <c r="R29" s="7"/>
      <c r="S29" s="70">
        <f>(Table143812[[#This Row],[Commercial Bid Price per case for NOI ($)]]-Table143812[[#This Row],[Pass-Thru Value per case ($)]])+Table143812[[#This Row],[Region 1: Fixed Fee Per Case ($)]]</f>
        <v>0</v>
      </c>
      <c r="T29" s="71" t="e">
        <f>(Table143812[[#This Row],[Commercial Bid Price per case for NOI ($)]]+Table143812[[#This Row],[Region 1: Fixed Fee Per Case ($)]])/Table143812[[#This Row],['# of CN Servings per case]]</f>
        <v>#DIV/0!</v>
      </c>
      <c r="U29" s="71" t="e">
        <f>Table143812[[#This Row],[Total Cost Per Serving (O+P)/J]]*Table143812[[#This Row],[Estimated Servings Annual]]</f>
        <v>#DIV/0!</v>
      </c>
      <c r="V29" s="70">
        <f>(Table143812[[#This Row],[Commercial Bid Price per case for NOI ($)]]-Table143812[[#This Row],[Pass-Thru Value per case ($)]])+Table143812[[#This Row],[Region 2: Fixed Fee Per Case ($)]]</f>
        <v>0</v>
      </c>
      <c r="W29" s="71" t="e">
        <f>(Table143812[[#This Row],[Commercial Bid Price per case for NOI ($)]]+Table143812[[#This Row],[Region 2: Fixed Fee Per Case ($)]])/Table143812[[#This Row],['# of CN Servings per case]]</f>
        <v>#DIV/0!</v>
      </c>
      <c r="X29" s="72" t="e">
        <f>Table143812[[#This Row],[Total Cost Per Serving (O+Q)/J]]*Table143812[[#This Row],[Estimated Servings Annual]]</f>
        <v>#DIV/0!</v>
      </c>
    </row>
    <row r="30" spans="1:24" x14ac:dyDescent="0.35">
      <c r="A30" s="30" t="s">
        <v>161</v>
      </c>
      <c r="B30" s="28" t="s">
        <v>165</v>
      </c>
      <c r="C30" s="7" t="s">
        <v>13</v>
      </c>
      <c r="D30" s="7"/>
      <c r="E30" s="7"/>
      <c r="F30" s="7"/>
      <c r="G30" s="7"/>
      <c r="H30" s="7"/>
      <c r="I30" s="7"/>
      <c r="J30" s="7"/>
      <c r="K30" s="49">
        <v>90000</v>
      </c>
      <c r="L30" s="7"/>
      <c r="M30" s="7"/>
      <c r="N30" s="7"/>
      <c r="O30" s="7"/>
      <c r="P30" s="7"/>
      <c r="Q30" s="7"/>
      <c r="R30" s="7"/>
      <c r="S30" s="70">
        <f>(Table143812[[#This Row],[Commercial Bid Price per case for NOI ($)]]-Table143812[[#This Row],[Pass-Thru Value per case ($)]])+Table143812[[#This Row],[Region 1: Fixed Fee Per Case ($)]]</f>
        <v>0</v>
      </c>
      <c r="T30" s="71" t="e">
        <f>(Table143812[[#This Row],[Commercial Bid Price per case for NOI ($)]]+Table143812[[#This Row],[Region 1: Fixed Fee Per Case ($)]])/Table143812[[#This Row],['# of CN Servings per case]]</f>
        <v>#DIV/0!</v>
      </c>
      <c r="U30" s="71" t="e">
        <f>Table143812[[#This Row],[Total Cost Per Serving (O+P)/J]]*Table143812[[#This Row],[Estimated Servings Annual]]</f>
        <v>#DIV/0!</v>
      </c>
      <c r="V30" s="70">
        <f>(Table143812[[#This Row],[Commercial Bid Price per case for NOI ($)]]-Table143812[[#This Row],[Pass-Thru Value per case ($)]])+Table143812[[#This Row],[Region 2: Fixed Fee Per Case ($)]]</f>
        <v>0</v>
      </c>
      <c r="W30" s="71" t="e">
        <f>(Table143812[[#This Row],[Commercial Bid Price per case for NOI ($)]]+Table143812[[#This Row],[Region 2: Fixed Fee Per Case ($)]])/Table143812[[#This Row],['# of CN Servings per case]]</f>
        <v>#DIV/0!</v>
      </c>
      <c r="X30" s="72" t="e">
        <f>Table143812[[#This Row],[Total Cost Per Serving (O+Q)/J]]*Table143812[[#This Row],[Estimated Servings Annual]]</f>
        <v>#DIV/0!</v>
      </c>
    </row>
    <row r="31" spans="1:24" x14ac:dyDescent="0.35">
      <c r="A31" s="30" t="s">
        <v>161</v>
      </c>
      <c r="B31" s="28" t="s">
        <v>165</v>
      </c>
      <c r="C31" s="7" t="s">
        <v>13</v>
      </c>
      <c r="D31" s="7"/>
      <c r="E31" s="7"/>
      <c r="F31" s="7"/>
      <c r="G31" s="7"/>
      <c r="H31" s="7"/>
      <c r="I31" s="7"/>
      <c r="J31" s="7"/>
      <c r="K31" s="49">
        <v>90000</v>
      </c>
      <c r="L31" s="7"/>
      <c r="M31" s="7"/>
      <c r="N31" s="7"/>
      <c r="O31" s="7"/>
      <c r="P31" s="7"/>
      <c r="Q31" s="7"/>
      <c r="R31" s="7"/>
      <c r="S31" s="70">
        <f>(Table143812[[#This Row],[Commercial Bid Price per case for NOI ($)]]-Table143812[[#This Row],[Pass-Thru Value per case ($)]])+Table143812[[#This Row],[Region 1: Fixed Fee Per Case ($)]]</f>
        <v>0</v>
      </c>
      <c r="T31" s="71" t="e">
        <f>(Table143812[[#This Row],[Commercial Bid Price per case for NOI ($)]]+Table143812[[#This Row],[Region 1: Fixed Fee Per Case ($)]])/Table143812[[#This Row],['# of CN Servings per case]]</f>
        <v>#DIV/0!</v>
      </c>
      <c r="U31" s="71" t="e">
        <f>Table143812[[#This Row],[Total Cost Per Serving (O+P)/J]]*Table143812[[#This Row],[Estimated Servings Annual]]</f>
        <v>#DIV/0!</v>
      </c>
      <c r="V31" s="70">
        <f>(Table143812[[#This Row],[Commercial Bid Price per case for NOI ($)]]-Table143812[[#This Row],[Pass-Thru Value per case ($)]])+Table143812[[#This Row],[Region 2: Fixed Fee Per Case ($)]]</f>
        <v>0</v>
      </c>
      <c r="W31" s="71" t="e">
        <f>(Table143812[[#This Row],[Commercial Bid Price per case for NOI ($)]]+Table143812[[#This Row],[Region 2: Fixed Fee Per Case ($)]])/Table143812[[#This Row],['# of CN Servings per case]]</f>
        <v>#DIV/0!</v>
      </c>
      <c r="X31" s="72" t="e">
        <f>Table143812[[#This Row],[Total Cost Per Serving (O+Q)/J]]*Table143812[[#This Row],[Estimated Servings Annual]]</f>
        <v>#DIV/0!</v>
      </c>
    </row>
    <row r="32" spans="1:24" x14ac:dyDescent="0.35">
      <c r="A32" s="30" t="s">
        <v>161</v>
      </c>
      <c r="B32" s="28" t="s">
        <v>165</v>
      </c>
      <c r="C32" s="7" t="s">
        <v>13</v>
      </c>
      <c r="D32" s="7"/>
      <c r="E32" s="7"/>
      <c r="F32" s="7"/>
      <c r="G32" s="7"/>
      <c r="H32" s="7"/>
      <c r="I32" s="7"/>
      <c r="J32" s="7"/>
      <c r="K32" s="49">
        <v>90000</v>
      </c>
      <c r="L32" s="7"/>
      <c r="M32" s="7"/>
      <c r="N32" s="7"/>
      <c r="O32" s="7"/>
      <c r="P32" s="7"/>
      <c r="Q32" s="7"/>
      <c r="R32" s="7"/>
      <c r="S32" s="70">
        <f>(Table143812[[#This Row],[Commercial Bid Price per case for NOI ($)]]-Table143812[[#This Row],[Pass-Thru Value per case ($)]])+Table143812[[#This Row],[Region 1: Fixed Fee Per Case ($)]]</f>
        <v>0</v>
      </c>
      <c r="T32" s="71" t="e">
        <f>(Table143812[[#This Row],[Commercial Bid Price per case for NOI ($)]]+Table143812[[#This Row],[Region 1: Fixed Fee Per Case ($)]])/Table143812[[#This Row],['# of CN Servings per case]]</f>
        <v>#DIV/0!</v>
      </c>
      <c r="U32" s="71" t="e">
        <f>Table143812[[#This Row],[Total Cost Per Serving (O+P)/J]]*Table143812[[#This Row],[Estimated Servings Annual]]</f>
        <v>#DIV/0!</v>
      </c>
      <c r="V32" s="70">
        <f>(Table143812[[#This Row],[Commercial Bid Price per case for NOI ($)]]-Table143812[[#This Row],[Pass-Thru Value per case ($)]])+Table143812[[#This Row],[Region 2: Fixed Fee Per Case ($)]]</f>
        <v>0</v>
      </c>
      <c r="W32" s="71" t="e">
        <f>(Table143812[[#This Row],[Commercial Bid Price per case for NOI ($)]]+Table143812[[#This Row],[Region 2: Fixed Fee Per Case ($)]])/Table143812[[#This Row],['# of CN Servings per case]]</f>
        <v>#DIV/0!</v>
      </c>
      <c r="X32" s="72" t="e">
        <f>Table143812[[#This Row],[Total Cost Per Serving (O+Q)/J]]*Table143812[[#This Row],[Estimated Servings Annual]]</f>
        <v>#DIV/0!</v>
      </c>
    </row>
    <row r="33" spans="1:24" x14ac:dyDescent="0.35">
      <c r="A33" s="30" t="s">
        <v>161</v>
      </c>
      <c r="B33" s="28" t="s">
        <v>165</v>
      </c>
      <c r="C33" s="7" t="s">
        <v>13</v>
      </c>
      <c r="D33" s="7"/>
      <c r="E33" s="7"/>
      <c r="F33" s="7"/>
      <c r="G33" s="7"/>
      <c r="H33" s="7"/>
      <c r="I33" s="7"/>
      <c r="J33" s="7"/>
      <c r="K33" s="49">
        <v>90000</v>
      </c>
      <c r="L33" s="7"/>
      <c r="M33" s="7"/>
      <c r="N33" s="7"/>
      <c r="O33" s="7"/>
      <c r="P33" s="7"/>
      <c r="Q33" s="7"/>
      <c r="R33" s="7"/>
      <c r="S33" s="70">
        <f>(Table143812[[#This Row],[Commercial Bid Price per case for NOI ($)]]-Table143812[[#This Row],[Pass-Thru Value per case ($)]])+Table143812[[#This Row],[Region 1: Fixed Fee Per Case ($)]]</f>
        <v>0</v>
      </c>
      <c r="T33" s="71" t="e">
        <f>(Table143812[[#This Row],[Commercial Bid Price per case for NOI ($)]]+Table143812[[#This Row],[Region 1: Fixed Fee Per Case ($)]])/Table143812[[#This Row],['# of CN Servings per case]]</f>
        <v>#DIV/0!</v>
      </c>
      <c r="U33" s="71" t="e">
        <f>Table143812[[#This Row],[Total Cost Per Serving (O+P)/J]]*Table143812[[#This Row],[Estimated Servings Annual]]</f>
        <v>#DIV/0!</v>
      </c>
      <c r="V33" s="70">
        <f>(Table143812[[#This Row],[Commercial Bid Price per case for NOI ($)]]-Table143812[[#This Row],[Pass-Thru Value per case ($)]])+Table143812[[#This Row],[Region 2: Fixed Fee Per Case ($)]]</f>
        <v>0</v>
      </c>
      <c r="W33" s="71" t="e">
        <f>(Table143812[[#This Row],[Commercial Bid Price per case for NOI ($)]]+Table143812[[#This Row],[Region 2: Fixed Fee Per Case ($)]])/Table143812[[#This Row],['# of CN Servings per case]]</f>
        <v>#DIV/0!</v>
      </c>
      <c r="X33" s="72" t="e">
        <f>Table143812[[#This Row],[Total Cost Per Serving (O+Q)/J]]*Table143812[[#This Row],[Estimated Servings Annual]]</f>
        <v>#DIV/0!</v>
      </c>
    </row>
    <row r="34" spans="1:24" ht="15" thickBot="1" x14ac:dyDescent="0.4">
      <c r="A34" s="30" t="s">
        <v>161</v>
      </c>
      <c r="B34" s="28" t="s">
        <v>165</v>
      </c>
      <c r="C34" s="8" t="s">
        <v>13</v>
      </c>
      <c r="D34" s="8"/>
      <c r="E34" s="8"/>
      <c r="F34" s="8"/>
      <c r="G34" s="8"/>
      <c r="H34" s="8"/>
      <c r="I34" s="8"/>
      <c r="J34" s="8"/>
      <c r="K34" s="49">
        <v>90000</v>
      </c>
      <c r="L34" s="8"/>
      <c r="M34" s="8"/>
      <c r="N34" s="8"/>
      <c r="O34" s="8"/>
      <c r="P34" s="8"/>
      <c r="Q34" s="8"/>
      <c r="R34" s="8"/>
      <c r="S34" s="73">
        <f>(Table143812[[#This Row],[Commercial Bid Price per case for NOI ($)]]-Table143812[[#This Row],[Pass-Thru Value per case ($)]])+Table143812[[#This Row],[Region 1: Fixed Fee Per Case ($)]]</f>
        <v>0</v>
      </c>
      <c r="T34" s="74" t="e">
        <f>(Table143812[[#This Row],[Commercial Bid Price per case for NOI ($)]]+Table143812[[#This Row],[Region 1: Fixed Fee Per Case ($)]])/Table143812[[#This Row],['# of CN Servings per case]]</f>
        <v>#DIV/0!</v>
      </c>
      <c r="U34" s="74" t="e">
        <f>Table143812[[#This Row],[Total Cost Per Serving (O+P)/J]]*Table143812[[#This Row],[Estimated Servings Annual]]</f>
        <v>#DIV/0!</v>
      </c>
      <c r="V34" s="73">
        <f>(Table143812[[#This Row],[Commercial Bid Price per case for NOI ($)]]-Table143812[[#This Row],[Pass-Thru Value per case ($)]])+Table143812[[#This Row],[Region 2: Fixed Fee Per Case ($)]]</f>
        <v>0</v>
      </c>
      <c r="W34" s="74" t="e">
        <f>(Table143812[[#This Row],[Commercial Bid Price per case for NOI ($)]]+Table143812[[#This Row],[Region 2: Fixed Fee Per Case ($)]])/Table143812[[#This Row],['# of CN Servings per case]]</f>
        <v>#DIV/0!</v>
      </c>
      <c r="X34" s="75" t="e">
        <f>Table143812[[#This Row],[Total Cost Per Serving (O+Q)/J]]*Table143812[[#This Row],[Estimated Servings Annual]]</f>
        <v>#DIV/0!</v>
      </c>
    </row>
    <row r="35" spans="1:24" x14ac:dyDescent="0.35">
      <c r="A35" s="30" t="s">
        <v>161</v>
      </c>
      <c r="B35" s="43" t="s">
        <v>166</v>
      </c>
      <c r="C35" s="6" t="s">
        <v>170</v>
      </c>
      <c r="D35" s="6"/>
      <c r="E35" s="6"/>
      <c r="F35" s="6"/>
      <c r="G35" s="6"/>
      <c r="H35" s="6"/>
      <c r="I35" s="6"/>
      <c r="J35" s="6"/>
      <c r="K35" s="48">
        <v>850000</v>
      </c>
      <c r="L35" s="6"/>
      <c r="M35" s="6"/>
      <c r="N35" s="6"/>
      <c r="O35" s="6"/>
      <c r="P35" s="6"/>
      <c r="Q35" s="6"/>
      <c r="R35" s="6"/>
      <c r="S35" s="67">
        <f>(Table143812[[#This Row],[Commercial Bid Price per case for NOI ($)]]-Table143812[[#This Row],[Pass-Thru Value per case ($)]])+Table143812[[#This Row],[Region 1: Fixed Fee Per Case ($)]]</f>
        <v>0</v>
      </c>
      <c r="T35" s="76" t="e">
        <f>(Table143812[[#This Row],[Commercial Bid Price per case for NOI ($)]]+Table143812[[#This Row],[Region 1: Fixed Fee Per Case ($)]])/Table143812[[#This Row],['# of CN Servings per case]]</f>
        <v>#DIV/0!</v>
      </c>
      <c r="U35" s="68" t="e">
        <f>Table143812[[#This Row],[Total Cost Per Serving (O+P)/J]]*Table143812[[#This Row],[Estimated Servings Annual]]</f>
        <v>#DIV/0!</v>
      </c>
      <c r="V35" s="67">
        <f>(Table143812[[#This Row],[Commercial Bid Price per case for NOI ($)]]-Table143812[[#This Row],[Pass-Thru Value per case ($)]])+Table143812[[#This Row],[Region 2: Fixed Fee Per Case ($)]]</f>
        <v>0</v>
      </c>
      <c r="W35" s="76" t="e">
        <f>(Table143812[[#This Row],[Commercial Bid Price per case for NOI ($)]]+Table143812[[#This Row],[Region 2: Fixed Fee Per Case ($)]])/Table143812[[#This Row],['# of CN Servings per case]]</f>
        <v>#DIV/0!</v>
      </c>
      <c r="X35" s="69" t="e">
        <f>Table143812[[#This Row],[Total Cost Per Serving (O+Q)/J]]*Table143812[[#This Row],[Estimated Servings Annual]]</f>
        <v>#DIV/0!</v>
      </c>
    </row>
    <row r="36" spans="1:24" x14ac:dyDescent="0.35">
      <c r="A36" s="30" t="s">
        <v>161</v>
      </c>
      <c r="B36" s="44" t="s">
        <v>166</v>
      </c>
      <c r="C36" s="7" t="s">
        <v>170</v>
      </c>
      <c r="D36" s="7"/>
      <c r="E36" s="7"/>
      <c r="F36" s="7"/>
      <c r="G36" s="7"/>
      <c r="H36" s="7"/>
      <c r="I36" s="7"/>
      <c r="J36" s="7"/>
      <c r="K36" s="49">
        <v>850000</v>
      </c>
      <c r="L36" s="7"/>
      <c r="M36" s="7"/>
      <c r="N36" s="7"/>
      <c r="O36" s="7"/>
      <c r="P36" s="7"/>
      <c r="Q36" s="7"/>
      <c r="R36" s="7"/>
      <c r="S36" s="70">
        <f>(Table143812[[#This Row],[Commercial Bid Price per case for NOI ($)]]-Table143812[[#This Row],[Pass-Thru Value per case ($)]])+Table143812[[#This Row],[Region 1: Fixed Fee Per Case ($)]]</f>
        <v>0</v>
      </c>
      <c r="T36" s="77" t="e">
        <f>(Table143812[[#This Row],[Commercial Bid Price per case for NOI ($)]]+Table143812[[#This Row],[Region 1: Fixed Fee Per Case ($)]])/Table143812[[#This Row],['# of CN Servings per case]]</f>
        <v>#DIV/0!</v>
      </c>
      <c r="U36" s="71" t="e">
        <f>Table143812[[#This Row],[Total Cost Per Serving (O+P)/J]]*Table143812[[#This Row],[Estimated Servings Annual]]</f>
        <v>#DIV/0!</v>
      </c>
      <c r="V36" s="70">
        <f>(Table143812[[#This Row],[Commercial Bid Price per case for NOI ($)]]-Table143812[[#This Row],[Pass-Thru Value per case ($)]])+Table143812[[#This Row],[Region 2: Fixed Fee Per Case ($)]]</f>
        <v>0</v>
      </c>
      <c r="W36" s="77" t="e">
        <f>(Table143812[[#This Row],[Commercial Bid Price per case for NOI ($)]]+Table143812[[#This Row],[Region 2: Fixed Fee Per Case ($)]])/Table143812[[#This Row],['# of CN Servings per case]]</f>
        <v>#DIV/0!</v>
      </c>
      <c r="X36" s="72" t="e">
        <f>Table143812[[#This Row],[Total Cost Per Serving (O+Q)/J]]*Table143812[[#This Row],[Estimated Servings Annual]]</f>
        <v>#DIV/0!</v>
      </c>
    </row>
    <row r="37" spans="1:24" x14ac:dyDescent="0.35">
      <c r="A37" s="30" t="s">
        <v>161</v>
      </c>
      <c r="B37" s="44" t="s">
        <v>166</v>
      </c>
      <c r="C37" s="7" t="s">
        <v>57</v>
      </c>
      <c r="D37" s="7"/>
      <c r="E37" s="7"/>
      <c r="F37" s="7"/>
      <c r="G37" s="7"/>
      <c r="H37" s="7"/>
      <c r="I37" s="7"/>
      <c r="J37" s="7"/>
      <c r="K37" s="49">
        <v>850000</v>
      </c>
      <c r="L37" s="7"/>
      <c r="M37" s="7"/>
      <c r="N37" s="7"/>
      <c r="O37" s="7"/>
      <c r="P37" s="7"/>
      <c r="Q37" s="7"/>
      <c r="R37" s="7"/>
      <c r="S37" s="70">
        <f>(Table143812[[#This Row],[Commercial Bid Price per case for NOI ($)]]-Table143812[[#This Row],[Pass-Thru Value per case ($)]])+Table143812[[#This Row],[Region 1: Fixed Fee Per Case ($)]]</f>
        <v>0</v>
      </c>
      <c r="T37" s="77" t="e">
        <f>(Table143812[[#This Row],[Commercial Bid Price per case for NOI ($)]]+Table143812[[#This Row],[Region 1: Fixed Fee Per Case ($)]])/Table143812[[#This Row],['# of CN Servings per case]]</f>
        <v>#DIV/0!</v>
      </c>
      <c r="U37" s="71" t="e">
        <f>Table143812[[#This Row],[Total Cost Per Serving (O+P)/J]]*Table143812[[#This Row],[Estimated Servings Annual]]</f>
        <v>#DIV/0!</v>
      </c>
      <c r="V37" s="70">
        <f>(Table143812[[#This Row],[Commercial Bid Price per case for NOI ($)]]-Table143812[[#This Row],[Pass-Thru Value per case ($)]])+Table143812[[#This Row],[Region 2: Fixed Fee Per Case ($)]]</f>
        <v>0</v>
      </c>
      <c r="W37" s="77" t="e">
        <f>(Table143812[[#This Row],[Commercial Bid Price per case for NOI ($)]]+Table143812[[#This Row],[Region 2: Fixed Fee Per Case ($)]])/Table143812[[#This Row],['# of CN Servings per case]]</f>
        <v>#DIV/0!</v>
      </c>
      <c r="X37" s="72" t="e">
        <f>Table143812[[#This Row],[Total Cost Per Serving (O+Q)/J]]*Table143812[[#This Row],[Estimated Servings Annual]]</f>
        <v>#DIV/0!</v>
      </c>
    </row>
    <row r="38" spans="1:24" x14ac:dyDescent="0.35">
      <c r="A38" s="30" t="s">
        <v>161</v>
      </c>
      <c r="B38" s="44" t="s">
        <v>166</v>
      </c>
      <c r="C38" s="7" t="s">
        <v>57</v>
      </c>
      <c r="D38" s="7"/>
      <c r="E38" s="7"/>
      <c r="F38" s="7"/>
      <c r="G38" s="7"/>
      <c r="H38" s="7"/>
      <c r="I38" s="7"/>
      <c r="J38" s="7"/>
      <c r="K38" s="49">
        <v>850000</v>
      </c>
      <c r="L38" s="7"/>
      <c r="M38" s="7"/>
      <c r="N38" s="7"/>
      <c r="O38" s="7"/>
      <c r="P38" s="7"/>
      <c r="Q38" s="7"/>
      <c r="R38" s="7"/>
      <c r="S38" s="70">
        <f>(Table143812[[#This Row],[Commercial Bid Price per case for NOI ($)]]-Table143812[[#This Row],[Pass-Thru Value per case ($)]])+Table143812[[#This Row],[Region 1: Fixed Fee Per Case ($)]]</f>
        <v>0</v>
      </c>
      <c r="T38" s="77" t="e">
        <f>(Table143812[[#This Row],[Commercial Bid Price per case for NOI ($)]]+Table143812[[#This Row],[Region 1: Fixed Fee Per Case ($)]])/Table143812[[#This Row],['# of CN Servings per case]]</f>
        <v>#DIV/0!</v>
      </c>
      <c r="U38" s="71" t="e">
        <f>Table143812[[#This Row],[Total Cost Per Serving (O+P)/J]]*Table143812[[#This Row],[Estimated Servings Annual]]</f>
        <v>#DIV/0!</v>
      </c>
      <c r="V38" s="70">
        <f>(Table143812[[#This Row],[Commercial Bid Price per case for NOI ($)]]-Table143812[[#This Row],[Pass-Thru Value per case ($)]])+Table143812[[#This Row],[Region 2: Fixed Fee Per Case ($)]]</f>
        <v>0</v>
      </c>
      <c r="W38" s="77" t="e">
        <f>(Table143812[[#This Row],[Commercial Bid Price per case for NOI ($)]]+Table143812[[#This Row],[Region 2: Fixed Fee Per Case ($)]])/Table143812[[#This Row],['# of CN Servings per case]]</f>
        <v>#DIV/0!</v>
      </c>
      <c r="X38" s="72" t="e">
        <f>Table143812[[#This Row],[Total Cost Per Serving (O+Q)/J]]*Table143812[[#This Row],[Estimated Servings Annual]]</f>
        <v>#DIV/0!</v>
      </c>
    </row>
    <row r="39" spans="1:24" x14ac:dyDescent="0.35">
      <c r="A39" s="30" t="s">
        <v>161</v>
      </c>
      <c r="B39" s="44" t="s">
        <v>166</v>
      </c>
      <c r="C39" s="7" t="s">
        <v>13</v>
      </c>
      <c r="D39" s="7"/>
      <c r="E39" s="7"/>
      <c r="F39" s="7"/>
      <c r="G39" s="7"/>
      <c r="H39" s="7"/>
      <c r="I39" s="7"/>
      <c r="J39" s="7"/>
      <c r="K39" s="49">
        <v>850000</v>
      </c>
      <c r="L39" s="7"/>
      <c r="M39" s="7"/>
      <c r="N39" s="7"/>
      <c r="O39" s="7"/>
      <c r="P39" s="7"/>
      <c r="Q39" s="7"/>
      <c r="R39" s="7"/>
      <c r="S39" s="70">
        <f>(Table143812[[#This Row],[Commercial Bid Price per case for NOI ($)]]-Table143812[[#This Row],[Pass-Thru Value per case ($)]])+Table143812[[#This Row],[Region 1: Fixed Fee Per Case ($)]]</f>
        <v>0</v>
      </c>
      <c r="T39" s="77" t="e">
        <f>(Table143812[[#This Row],[Commercial Bid Price per case for NOI ($)]]+Table143812[[#This Row],[Region 1: Fixed Fee Per Case ($)]])/Table143812[[#This Row],['# of CN Servings per case]]</f>
        <v>#DIV/0!</v>
      </c>
      <c r="U39" s="71" t="e">
        <f>Table143812[[#This Row],[Total Cost Per Serving (O+P)/J]]*Table143812[[#This Row],[Estimated Servings Annual]]</f>
        <v>#DIV/0!</v>
      </c>
      <c r="V39" s="70">
        <f>(Table143812[[#This Row],[Commercial Bid Price per case for NOI ($)]]-Table143812[[#This Row],[Pass-Thru Value per case ($)]])+Table143812[[#This Row],[Region 2: Fixed Fee Per Case ($)]]</f>
        <v>0</v>
      </c>
      <c r="W39" s="77" t="e">
        <f>(Table143812[[#This Row],[Commercial Bid Price per case for NOI ($)]]+Table143812[[#This Row],[Region 2: Fixed Fee Per Case ($)]])/Table143812[[#This Row],['# of CN Servings per case]]</f>
        <v>#DIV/0!</v>
      </c>
      <c r="X39" s="72" t="e">
        <f>Table143812[[#This Row],[Total Cost Per Serving (O+Q)/J]]*Table143812[[#This Row],[Estimated Servings Annual]]</f>
        <v>#DIV/0!</v>
      </c>
    </row>
    <row r="40" spans="1:24" x14ac:dyDescent="0.35">
      <c r="A40" s="30" t="s">
        <v>161</v>
      </c>
      <c r="B40" s="44" t="s">
        <v>166</v>
      </c>
      <c r="C40" s="7" t="s">
        <v>13</v>
      </c>
      <c r="D40" s="7"/>
      <c r="E40" s="7"/>
      <c r="F40" s="7"/>
      <c r="G40" s="7"/>
      <c r="H40" s="7"/>
      <c r="I40" s="7"/>
      <c r="J40" s="7"/>
      <c r="K40" s="49">
        <v>850000</v>
      </c>
      <c r="L40" s="7"/>
      <c r="M40" s="7"/>
      <c r="N40" s="7"/>
      <c r="O40" s="7"/>
      <c r="P40" s="7"/>
      <c r="Q40" s="7"/>
      <c r="R40" s="7"/>
      <c r="S40" s="70">
        <f>(Table143812[[#This Row],[Commercial Bid Price per case for NOI ($)]]-Table143812[[#This Row],[Pass-Thru Value per case ($)]])+Table143812[[#This Row],[Region 1: Fixed Fee Per Case ($)]]</f>
        <v>0</v>
      </c>
      <c r="T40" s="77" t="e">
        <f>(Table143812[[#This Row],[Commercial Bid Price per case for NOI ($)]]+Table143812[[#This Row],[Region 1: Fixed Fee Per Case ($)]])/Table143812[[#This Row],['# of CN Servings per case]]</f>
        <v>#DIV/0!</v>
      </c>
      <c r="U40" s="71" t="e">
        <f>Table143812[[#This Row],[Total Cost Per Serving (O+P)/J]]*Table143812[[#This Row],[Estimated Servings Annual]]</f>
        <v>#DIV/0!</v>
      </c>
      <c r="V40" s="70">
        <f>(Table143812[[#This Row],[Commercial Bid Price per case for NOI ($)]]-Table143812[[#This Row],[Pass-Thru Value per case ($)]])+Table143812[[#This Row],[Region 2: Fixed Fee Per Case ($)]]</f>
        <v>0</v>
      </c>
      <c r="W40" s="77" t="e">
        <f>(Table143812[[#This Row],[Commercial Bid Price per case for NOI ($)]]+Table143812[[#This Row],[Region 2: Fixed Fee Per Case ($)]])/Table143812[[#This Row],['# of CN Servings per case]]</f>
        <v>#DIV/0!</v>
      </c>
      <c r="X40" s="72" t="e">
        <f>Table143812[[#This Row],[Total Cost Per Serving (O+Q)/J]]*Table143812[[#This Row],[Estimated Servings Annual]]</f>
        <v>#DIV/0!</v>
      </c>
    </row>
    <row r="41" spans="1:24" x14ac:dyDescent="0.35">
      <c r="A41" s="30" t="s">
        <v>161</v>
      </c>
      <c r="B41" s="44" t="s">
        <v>166</v>
      </c>
      <c r="C41" s="7" t="s">
        <v>13</v>
      </c>
      <c r="D41" s="7"/>
      <c r="E41" s="7"/>
      <c r="F41" s="7"/>
      <c r="G41" s="7"/>
      <c r="H41" s="7"/>
      <c r="I41" s="7"/>
      <c r="J41" s="7"/>
      <c r="K41" s="49">
        <v>850000</v>
      </c>
      <c r="L41" s="7"/>
      <c r="M41" s="7"/>
      <c r="N41" s="7"/>
      <c r="O41" s="7"/>
      <c r="P41" s="7"/>
      <c r="Q41" s="7"/>
      <c r="R41" s="7"/>
      <c r="S41" s="70">
        <f>(Table143812[[#This Row],[Commercial Bid Price per case for NOI ($)]]-Table143812[[#This Row],[Pass-Thru Value per case ($)]])+Table143812[[#This Row],[Region 1: Fixed Fee Per Case ($)]]</f>
        <v>0</v>
      </c>
      <c r="T41" s="77" t="e">
        <f>(Table143812[[#This Row],[Commercial Bid Price per case for NOI ($)]]+Table143812[[#This Row],[Region 1: Fixed Fee Per Case ($)]])/Table143812[[#This Row],['# of CN Servings per case]]</f>
        <v>#DIV/0!</v>
      </c>
      <c r="U41" s="71" t="e">
        <f>Table143812[[#This Row],[Total Cost Per Serving (O+P)/J]]*Table143812[[#This Row],[Estimated Servings Annual]]</f>
        <v>#DIV/0!</v>
      </c>
      <c r="V41" s="70">
        <f>(Table143812[[#This Row],[Commercial Bid Price per case for NOI ($)]]-Table143812[[#This Row],[Pass-Thru Value per case ($)]])+Table143812[[#This Row],[Region 2: Fixed Fee Per Case ($)]]</f>
        <v>0</v>
      </c>
      <c r="W41" s="77" t="e">
        <f>(Table143812[[#This Row],[Commercial Bid Price per case for NOI ($)]]+Table143812[[#This Row],[Region 2: Fixed Fee Per Case ($)]])/Table143812[[#This Row],['# of CN Servings per case]]</f>
        <v>#DIV/0!</v>
      </c>
      <c r="X41" s="72" t="e">
        <f>Table143812[[#This Row],[Total Cost Per Serving (O+Q)/J]]*Table143812[[#This Row],[Estimated Servings Annual]]</f>
        <v>#DIV/0!</v>
      </c>
    </row>
    <row r="42" spans="1:24" ht="15" thickBot="1" x14ac:dyDescent="0.4">
      <c r="A42" s="30" t="s">
        <v>161</v>
      </c>
      <c r="B42" s="44" t="s">
        <v>166</v>
      </c>
      <c r="C42" s="8" t="s">
        <v>13</v>
      </c>
      <c r="D42" s="8"/>
      <c r="E42" s="8"/>
      <c r="F42" s="8"/>
      <c r="G42" s="8"/>
      <c r="H42" s="8"/>
      <c r="I42" s="8"/>
      <c r="J42" s="8"/>
      <c r="K42" s="50">
        <v>850000</v>
      </c>
      <c r="L42" s="8"/>
      <c r="M42" s="8"/>
      <c r="N42" s="8"/>
      <c r="O42" s="8"/>
      <c r="P42" s="8"/>
      <c r="Q42" s="8"/>
      <c r="R42" s="8"/>
      <c r="S42" s="73">
        <f>(Table143812[[#This Row],[Commercial Bid Price per case for NOI ($)]]-Table143812[[#This Row],[Pass-Thru Value per case ($)]])+Table143812[[#This Row],[Region 1: Fixed Fee Per Case ($)]]</f>
        <v>0</v>
      </c>
      <c r="T42" s="78" t="e">
        <f>(Table143812[[#This Row],[Commercial Bid Price per case for NOI ($)]]+Table143812[[#This Row],[Region 1: Fixed Fee Per Case ($)]])/Table143812[[#This Row],['# of CN Servings per case]]</f>
        <v>#DIV/0!</v>
      </c>
      <c r="U42" s="74" t="e">
        <f>Table143812[[#This Row],[Total Cost Per Serving (O+P)/J]]*Table143812[[#This Row],[Estimated Servings Annual]]</f>
        <v>#DIV/0!</v>
      </c>
      <c r="V42" s="73">
        <f>(Table143812[[#This Row],[Commercial Bid Price per case for NOI ($)]]-Table143812[[#This Row],[Pass-Thru Value per case ($)]])+Table143812[[#This Row],[Region 2: Fixed Fee Per Case ($)]]</f>
        <v>0</v>
      </c>
      <c r="W42" s="78" t="e">
        <f>(Table143812[[#This Row],[Commercial Bid Price per case for NOI ($)]]+Table143812[[#This Row],[Region 2: Fixed Fee Per Case ($)]])/Table143812[[#This Row],['# of CN Servings per case]]</f>
        <v>#DIV/0!</v>
      </c>
      <c r="X42" s="75" t="e">
        <f>Table143812[[#This Row],[Total Cost Per Serving (O+Q)/J]]*Table143812[[#This Row],[Estimated Servings Annual]]</f>
        <v>#DIV/0!</v>
      </c>
    </row>
    <row r="43" spans="1:24" x14ac:dyDescent="0.35">
      <c r="A43" s="30" t="s">
        <v>161</v>
      </c>
      <c r="B43" s="42" t="s">
        <v>167</v>
      </c>
      <c r="C43" s="6" t="s">
        <v>170</v>
      </c>
      <c r="D43" s="6"/>
      <c r="E43" s="6"/>
      <c r="F43" s="6"/>
      <c r="G43" s="6"/>
      <c r="H43" s="6"/>
      <c r="I43" s="6"/>
      <c r="J43" s="6"/>
      <c r="K43" s="48">
        <v>300000</v>
      </c>
      <c r="L43" s="6"/>
      <c r="M43" s="6"/>
      <c r="N43" s="6"/>
      <c r="O43" s="6"/>
      <c r="P43" s="6"/>
      <c r="Q43" s="6"/>
      <c r="R43" s="6"/>
      <c r="S43" s="67">
        <f>(Table143812[[#This Row],[Commercial Bid Price per case for NOI ($)]]-Table143812[[#This Row],[Pass-Thru Value per case ($)]])+Table143812[[#This Row],[Region 1: Fixed Fee Per Case ($)]]</f>
        <v>0</v>
      </c>
      <c r="T43" s="76" t="e">
        <f>(Table143812[[#This Row],[Commercial Bid Price per case for NOI ($)]]+Table143812[[#This Row],[Region 1: Fixed Fee Per Case ($)]])/Table143812[[#This Row],['# of CN Servings per case]]</f>
        <v>#DIV/0!</v>
      </c>
      <c r="U43" s="68" t="e">
        <f>Table143812[[#This Row],[Total Cost Per Serving (O+P)/J]]*Table143812[[#This Row],[Estimated Servings Annual]]</f>
        <v>#DIV/0!</v>
      </c>
      <c r="V43" s="67">
        <f>(Table143812[[#This Row],[Commercial Bid Price per case for NOI ($)]]-Table143812[[#This Row],[Pass-Thru Value per case ($)]])+Table143812[[#This Row],[Region 2: Fixed Fee Per Case ($)]]</f>
        <v>0</v>
      </c>
      <c r="W43" s="76" t="e">
        <f>(Table143812[[#This Row],[Commercial Bid Price per case for NOI ($)]]+Table143812[[#This Row],[Region 2: Fixed Fee Per Case ($)]])/Table143812[[#This Row],['# of CN Servings per case]]</f>
        <v>#DIV/0!</v>
      </c>
      <c r="X43" s="69" t="e">
        <f>Table143812[[#This Row],[Total Cost Per Serving (O+Q)/J]]*Table143812[[#This Row],[Estimated Servings Annual]]</f>
        <v>#DIV/0!</v>
      </c>
    </row>
    <row r="44" spans="1:24" x14ac:dyDescent="0.35">
      <c r="A44" s="30" t="s">
        <v>161</v>
      </c>
      <c r="B44" s="28" t="s">
        <v>167</v>
      </c>
      <c r="C44" s="7" t="s">
        <v>170</v>
      </c>
      <c r="D44" s="7"/>
      <c r="E44" s="7"/>
      <c r="F44" s="7"/>
      <c r="G44" s="7"/>
      <c r="H44" s="7"/>
      <c r="I44" s="7"/>
      <c r="J44" s="7"/>
      <c r="K44" s="49">
        <v>300000</v>
      </c>
      <c r="L44" s="7"/>
      <c r="M44" s="7"/>
      <c r="N44" s="7"/>
      <c r="O44" s="7"/>
      <c r="P44" s="7"/>
      <c r="Q44" s="7"/>
      <c r="R44" s="7"/>
      <c r="S44" s="70">
        <f>(Table143812[[#This Row],[Commercial Bid Price per case for NOI ($)]]-Table143812[[#This Row],[Pass-Thru Value per case ($)]])+Table143812[[#This Row],[Region 1: Fixed Fee Per Case ($)]]</f>
        <v>0</v>
      </c>
      <c r="T44" s="77" t="e">
        <f>(Table143812[[#This Row],[Commercial Bid Price per case for NOI ($)]]+Table143812[[#This Row],[Region 1: Fixed Fee Per Case ($)]])/Table143812[[#This Row],['# of CN Servings per case]]</f>
        <v>#DIV/0!</v>
      </c>
      <c r="U44" s="71" t="e">
        <f>Table143812[[#This Row],[Total Cost Per Serving (O+P)/J]]*Table143812[[#This Row],[Estimated Servings Annual]]</f>
        <v>#DIV/0!</v>
      </c>
      <c r="V44" s="70">
        <f>(Table143812[[#This Row],[Commercial Bid Price per case for NOI ($)]]-Table143812[[#This Row],[Pass-Thru Value per case ($)]])+Table143812[[#This Row],[Region 2: Fixed Fee Per Case ($)]]</f>
        <v>0</v>
      </c>
      <c r="W44" s="77" t="e">
        <f>(Table143812[[#This Row],[Commercial Bid Price per case for NOI ($)]]+Table143812[[#This Row],[Region 2: Fixed Fee Per Case ($)]])/Table143812[[#This Row],['# of CN Servings per case]]</f>
        <v>#DIV/0!</v>
      </c>
      <c r="X44" s="72" t="e">
        <f>Table143812[[#This Row],[Total Cost Per Serving (O+Q)/J]]*Table143812[[#This Row],[Estimated Servings Annual]]</f>
        <v>#DIV/0!</v>
      </c>
    </row>
    <row r="45" spans="1:24" x14ac:dyDescent="0.35">
      <c r="A45" s="30" t="s">
        <v>161</v>
      </c>
      <c r="B45" s="28" t="s">
        <v>167</v>
      </c>
      <c r="C45" s="7" t="s">
        <v>57</v>
      </c>
      <c r="D45" s="7"/>
      <c r="E45" s="7"/>
      <c r="F45" s="7"/>
      <c r="G45" s="7"/>
      <c r="H45" s="7"/>
      <c r="I45" s="7"/>
      <c r="J45" s="7"/>
      <c r="K45" s="49">
        <v>300000</v>
      </c>
      <c r="L45" s="7"/>
      <c r="M45" s="7"/>
      <c r="N45" s="7"/>
      <c r="O45" s="7"/>
      <c r="P45" s="7"/>
      <c r="Q45" s="7"/>
      <c r="R45" s="7"/>
      <c r="S45" s="70">
        <f>(Table143812[[#This Row],[Commercial Bid Price per case for NOI ($)]]-Table143812[[#This Row],[Pass-Thru Value per case ($)]])+Table143812[[#This Row],[Region 1: Fixed Fee Per Case ($)]]</f>
        <v>0</v>
      </c>
      <c r="T45" s="77" t="e">
        <f>(Table143812[[#This Row],[Commercial Bid Price per case for NOI ($)]]+Table143812[[#This Row],[Region 1: Fixed Fee Per Case ($)]])/Table143812[[#This Row],['# of CN Servings per case]]</f>
        <v>#DIV/0!</v>
      </c>
      <c r="U45" s="71" t="e">
        <f>Table143812[[#This Row],[Total Cost Per Serving (O+P)/J]]*Table143812[[#This Row],[Estimated Servings Annual]]</f>
        <v>#DIV/0!</v>
      </c>
      <c r="V45" s="70">
        <f>(Table143812[[#This Row],[Commercial Bid Price per case for NOI ($)]]-Table143812[[#This Row],[Pass-Thru Value per case ($)]])+Table143812[[#This Row],[Region 2: Fixed Fee Per Case ($)]]</f>
        <v>0</v>
      </c>
      <c r="W45" s="77" t="e">
        <f>(Table143812[[#This Row],[Commercial Bid Price per case for NOI ($)]]+Table143812[[#This Row],[Region 2: Fixed Fee Per Case ($)]])/Table143812[[#This Row],['# of CN Servings per case]]</f>
        <v>#DIV/0!</v>
      </c>
      <c r="X45" s="72" t="e">
        <f>Table143812[[#This Row],[Total Cost Per Serving (O+Q)/J]]*Table143812[[#This Row],[Estimated Servings Annual]]</f>
        <v>#DIV/0!</v>
      </c>
    </row>
    <row r="46" spans="1:24" x14ac:dyDescent="0.35">
      <c r="A46" s="30" t="s">
        <v>161</v>
      </c>
      <c r="B46" s="28" t="s">
        <v>167</v>
      </c>
      <c r="C46" s="7" t="s">
        <v>57</v>
      </c>
      <c r="D46" s="7"/>
      <c r="E46" s="7"/>
      <c r="F46" s="7"/>
      <c r="G46" s="7"/>
      <c r="H46" s="7"/>
      <c r="I46" s="7"/>
      <c r="J46" s="7"/>
      <c r="K46" s="49">
        <v>300000</v>
      </c>
      <c r="L46" s="7"/>
      <c r="M46" s="7"/>
      <c r="N46" s="7"/>
      <c r="O46" s="7"/>
      <c r="P46" s="7"/>
      <c r="Q46" s="7"/>
      <c r="R46" s="7"/>
      <c r="S46" s="70">
        <f>(Table143812[[#This Row],[Commercial Bid Price per case for NOI ($)]]-Table143812[[#This Row],[Pass-Thru Value per case ($)]])+Table143812[[#This Row],[Region 1: Fixed Fee Per Case ($)]]</f>
        <v>0</v>
      </c>
      <c r="T46" s="77" t="e">
        <f>(Table143812[[#This Row],[Commercial Bid Price per case for NOI ($)]]+Table143812[[#This Row],[Region 1: Fixed Fee Per Case ($)]])/Table143812[[#This Row],['# of CN Servings per case]]</f>
        <v>#DIV/0!</v>
      </c>
      <c r="U46" s="71" t="e">
        <f>Table143812[[#This Row],[Total Cost Per Serving (O+P)/J]]*Table143812[[#This Row],[Estimated Servings Annual]]</f>
        <v>#DIV/0!</v>
      </c>
      <c r="V46" s="70">
        <f>(Table143812[[#This Row],[Commercial Bid Price per case for NOI ($)]]-Table143812[[#This Row],[Pass-Thru Value per case ($)]])+Table143812[[#This Row],[Region 2: Fixed Fee Per Case ($)]]</f>
        <v>0</v>
      </c>
      <c r="W46" s="77" t="e">
        <f>(Table143812[[#This Row],[Commercial Bid Price per case for NOI ($)]]+Table143812[[#This Row],[Region 2: Fixed Fee Per Case ($)]])/Table143812[[#This Row],['# of CN Servings per case]]</f>
        <v>#DIV/0!</v>
      </c>
      <c r="X46" s="72" t="e">
        <f>Table143812[[#This Row],[Total Cost Per Serving (O+Q)/J]]*Table143812[[#This Row],[Estimated Servings Annual]]</f>
        <v>#DIV/0!</v>
      </c>
    </row>
    <row r="47" spans="1:24" x14ac:dyDescent="0.35">
      <c r="A47" s="30" t="s">
        <v>161</v>
      </c>
      <c r="B47" s="28" t="s">
        <v>167</v>
      </c>
      <c r="C47" s="7" t="s">
        <v>13</v>
      </c>
      <c r="D47" s="7"/>
      <c r="E47" s="7"/>
      <c r="F47" s="7"/>
      <c r="G47" s="7"/>
      <c r="H47" s="7"/>
      <c r="I47" s="7"/>
      <c r="J47" s="7"/>
      <c r="K47" s="49">
        <v>300000</v>
      </c>
      <c r="L47" s="7"/>
      <c r="M47" s="7"/>
      <c r="N47" s="7"/>
      <c r="O47" s="7"/>
      <c r="P47" s="7"/>
      <c r="Q47" s="7"/>
      <c r="R47" s="7"/>
      <c r="S47" s="70">
        <f>(Table143812[[#This Row],[Commercial Bid Price per case for NOI ($)]]-Table143812[[#This Row],[Pass-Thru Value per case ($)]])+Table143812[[#This Row],[Region 1: Fixed Fee Per Case ($)]]</f>
        <v>0</v>
      </c>
      <c r="T47" s="77" t="e">
        <f>(Table143812[[#This Row],[Commercial Bid Price per case for NOI ($)]]+Table143812[[#This Row],[Region 1: Fixed Fee Per Case ($)]])/Table143812[[#This Row],['# of CN Servings per case]]</f>
        <v>#DIV/0!</v>
      </c>
      <c r="U47" s="71" t="e">
        <f>Table143812[[#This Row],[Total Cost Per Serving (O+P)/J]]*Table143812[[#This Row],[Estimated Servings Annual]]</f>
        <v>#DIV/0!</v>
      </c>
      <c r="V47" s="70">
        <f>(Table143812[[#This Row],[Commercial Bid Price per case for NOI ($)]]-Table143812[[#This Row],[Pass-Thru Value per case ($)]])+Table143812[[#This Row],[Region 2: Fixed Fee Per Case ($)]]</f>
        <v>0</v>
      </c>
      <c r="W47" s="77" t="e">
        <f>(Table143812[[#This Row],[Commercial Bid Price per case for NOI ($)]]+Table143812[[#This Row],[Region 2: Fixed Fee Per Case ($)]])/Table143812[[#This Row],['# of CN Servings per case]]</f>
        <v>#DIV/0!</v>
      </c>
      <c r="X47" s="72" t="e">
        <f>Table143812[[#This Row],[Total Cost Per Serving (O+Q)/J]]*Table143812[[#This Row],[Estimated Servings Annual]]</f>
        <v>#DIV/0!</v>
      </c>
    </row>
    <row r="48" spans="1:24" x14ac:dyDescent="0.35">
      <c r="A48" s="30" t="s">
        <v>161</v>
      </c>
      <c r="B48" s="28" t="s">
        <v>167</v>
      </c>
      <c r="C48" s="7" t="s">
        <v>13</v>
      </c>
      <c r="D48" s="7"/>
      <c r="E48" s="7"/>
      <c r="F48" s="7"/>
      <c r="G48" s="7"/>
      <c r="H48" s="7"/>
      <c r="I48" s="7"/>
      <c r="J48" s="7"/>
      <c r="K48" s="49">
        <v>300000</v>
      </c>
      <c r="L48" s="7"/>
      <c r="M48" s="7"/>
      <c r="N48" s="7"/>
      <c r="O48" s="7"/>
      <c r="P48" s="7"/>
      <c r="Q48" s="7"/>
      <c r="R48" s="7"/>
      <c r="S48" s="70">
        <f>(Table143812[[#This Row],[Commercial Bid Price per case for NOI ($)]]-Table143812[[#This Row],[Pass-Thru Value per case ($)]])+Table143812[[#This Row],[Region 1: Fixed Fee Per Case ($)]]</f>
        <v>0</v>
      </c>
      <c r="T48" s="77" t="e">
        <f>(Table143812[[#This Row],[Commercial Bid Price per case for NOI ($)]]+Table143812[[#This Row],[Region 1: Fixed Fee Per Case ($)]])/Table143812[[#This Row],['# of CN Servings per case]]</f>
        <v>#DIV/0!</v>
      </c>
      <c r="U48" s="71" t="e">
        <f>Table143812[[#This Row],[Total Cost Per Serving (O+P)/J]]*Table143812[[#This Row],[Estimated Servings Annual]]</f>
        <v>#DIV/0!</v>
      </c>
      <c r="V48" s="70">
        <f>(Table143812[[#This Row],[Commercial Bid Price per case for NOI ($)]]-Table143812[[#This Row],[Pass-Thru Value per case ($)]])+Table143812[[#This Row],[Region 2: Fixed Fee Per Case ($)]]</f>
        <v>0</v>
      </c>
      <c r="W48" s="77" t="e">
        <f>(Table143812[[#This Row],[Commercial Bid Price per case for NOI ($)]]+Table143812[[#This Row],[Region 2: Fixed Fee Per Case ($)]])/Table143812[[#This Row],['# of CN Servings per case]]</f>
        <v>#DIV/0!</v>
      </c>
      <c r="X48" s="72" t="e">
        <f>Table143812[[#This Row],[Total Cost Per Serving (O+Q)/J]]*Table143812[[#This Row],[Estimated Servings Annual]]</f>
        <v>#DIV/0!</v>
      </c>
    </row>
    <row r="49" spans="1:24" x14ac:dyDescent="0.35">
      <c r="A49" s="30" t="s">
        <v>161</v>
      </c>
      <c r="B49" s="28" t="s">
        <v>167</v>
      </c>
      <c r="C49" s="7" t="s">
        <v>13</v>
      </c>
      <c r="D49" s="7"/>
      <c r="E49" s="7"/>
      <c r="F49" s="7"/>
      <c r="G49" s="7"/>
      <c r="H49" s="7"/>
      <c r="I49" s="7"/>
      <c r="J49" s="7"/>
      <c r="K49" s="49">
        <v>300000</v>
      </c>
      <c r="L49" s="7"/>
      <c r="M49" s="7"/>
      <c r="N49" s="7"/>
      <c r="O49" s="7"/>
      <c r="P49" s="7"/>
      <c r="Q49" s="7"/>
      <c r="R49" s="7"/>
      <c r="S49" s="70">
        <f>(Table143812[[#This Row],[Commercial Bid Price per case for NOI ($)]]-Table143812[[#This Row],[Pass-Thru Value per case ($)]])+Table143812[[#This Row],[Region 1: Fixed Fee Per Case ($)]]</f>
        <v>0</v>
      </c>
      <c r="T49" s="77" t="e">
        <f>(Table143812[[#This Row],[Commercial Bid Price per case for NOI ($)]]+Table143812[[#This Row],[Region 1: Fixed Fee Per Case ($)]])/Table143812[[#This Row],['# of CN Servings per case]]</f>
        <v>#DIV/0!</v>
      </c>
      <c r="U49" s="71" t="e">
        <f>Table143812[[#This Row],[Total Cost Per Serving (O+P)/J]]*Table143812[[#This Row],[Estimated Servings Annual]]</f>
        <v>#DIV/0!</v>
      </c>
      <c r="V49" s="70">
        <f>(Table143812[[#This Row],[Commercial Bid Price per case for NOI ($)]]-Table143812[[#This Row],[Pass-Thru Value per case ($)]])+Table143812[[#This Row],[Region 2: Fixed Fee Per Case ($)]]</f>
        <v>0</v>
      </c>
      <c r="W49" s="77" t="e">
        <f>(Table143812[[#This Row],[Commercial Bid Price per case for NOI ($)]]+Table143812[[#This Row],[Region 2: Fixed Fee Per Case ($)]])/Table143812[[#This Row],['# of CN Servings per case]]</f>
        <v>#DIV/0!</v>
      </c>
      <c r="X49" s="72" t="e">
        <f>Table143812[[#This Row],[Total Cost Per Serving (O+Q)/J]]*Table143812[[#This Row],[Estimated Servings Annual]]</f>
        <v>#DIV/0!</v>
      </c>
    </row>
    <row r="50" spans="1:24" ht="15" thickBot="1" x14ac:dyDescent="0.4">
      <c r="A50" s="30" t="s">
        <v>161</v>
      </c>
      <c r="B50" s="28" t="s">
        <v>167</v>
      </c>
      <c r="C50" s="8" t="s">
        <v>13</v>
      </c>
      <c r="D50" s="8"/>
      <c r="E50" s="8"/>
      <c r="F50" s="8"/>
      <c r="G50" s="8"/>
      <c r="H50" s="8"/>
      <c r="I50" s="8"/>
      <c r="J50" s="8"/>
      <c r="K50" s="50">
        <v>300000</v>
      </c>
      <c r="L50" s="8"/>
      <c r="M50" s="8"/>
      <c r="N50" s="8"/>
      <c r="O50" s="8"/>
      <c r="P50" s="8"/>
      <c r="Q50" s="8"/>
      <c r="R50" s="8"/>
      <c r="S50" s="73">
        <f>(Table143812[[#This Row],[Commercial Bid Price per case for NOI ($)]]-Table143812[[#This Row],[Pass-Thru Value per case ($)]])+Table143812[[#This Row],[Region 1: Fixed Fee Per Case ($)]]</f>
        <v>0</v>
      </c>
      <c r="T50" s="78" t="e">
        <f>(Table143812[[#This Row],[Commercial Bid Price per case for NOI ($)]]+Table143812[[#This Row],[Region 1: Fixed Fee Per Case ($)]])/Table143812[[#This Row],['# of CN Servings per case]]</f>
        <v>#DIV/0!</v>
      </c>
      <c r="U50" s="74" t="e">
        <f>Table143812[[#This Row],[Total Cost Per Serving (O+P)/J]]*Table143812[[#This Row],[Estimated Servings Annual]]</f>
        <v>#DIV/0!</v>
      </c>
      <c r="V50" s="73">
        <f>(Table143812[[#This Row],[Commercial Bid Price per case for NOI ($)]]-Table143812[[#This Row],[Pass-Thru Value per case ($)]])+Table143812[[#This Row],[Region 2: Fixed Fee Per Case ($)]]</f>
        <v>0</v>
      </c>
      <c r="W50" s="78" t="e">
        <f>(Table143812[[#This Row],[Commercial Bid Price per case for NOI ($)]]+Table143812[[#This Row],[Region 2: Fixed Fee Per Case ($)]])/Table143812[[#This Row],['# of CN Servings per case]]</f>
        <v>#DIV/0!</v>
      </c>
      <c r="X50" s="75" t="e">
        <f>Table143812[[#This Row],[Total Cost Per Serving (O+Q)/J]]*Table143812[[#This Row],[Estimated Servings Annual]]</f>
        <v>#DIV/0!</v>
      </c>
    </row>
    <row r="51" spans="1:24" x14ac:dyDescent="0.35">
      <c r="A51" s="30" t="s">
        <v>161</v>
      </c>
      <c r="B51" s="42" t="s">
        <v>168</v>
      </c>
      <c r="C51" s="6" t="s">
        <v>170</v>
      </c>
      <c r="D51" s="6"/>
      <c r="E51" s="6"/>
      <c r="F51" s="6"/>
      <c r="G51" s="6"/>
      <c r="H51" s="6"/>
      <c r="I51" s="6"/>
      <c r="J51" s="6"/>
      <c r="K51" s="48">
        <v>600000</v>
      </c>
      <c r="L51" s="6"/>
      <c r="M51" s="6"/>
      <c r="N51" s="6"/>
      <c r="O51" s="6"/>
      <c r="P51" s="6"/>
      <c r="Q51" s="6"/>
      <c r="R51" s="6"/>
      <c r="S51" s="67">
        <f>(Table143812[[#This Row],[Commercial Bid Price per case for NOI ($)]]-Table143812[[#This Row],[Pass-Thru Value per case ($)]])+Table143812[[#This Row],[Region 1: Fixed Fee Per Case ($)]]</f>
        <v>0</v>
      </c>
      <c r="T51" s="76" t="e">
        <f>(Table143812[[#This Row],[Commercial Bid Price per case for NOI ($)]]+Table143812[[#This Row],[Region 1: Fixed Fee Per Case ($)]])/Table143812[[#This Row],['# of CN Servings per case]]</f>
        <v>#DIV/0!</v>
      </c>
      <c r="U51" s="68" t="e">
        <f>Table143812[[#This Row],[Total Cost Per Serving (O+P)/J]]*Table143812[[#This Row],[Estimated Servings Annual]]</f>
        <v>#DIV/0!</v>
      </c>
      <c r="V51" s="67">
        <f>(Table143812[[#This Row],[Commercial Bid Price per case for NOI ($)]]-Table143812[[#This Row],[Pass-Thru Value per case ($)]])+Table143812[[#This Row],[Region 2: Fixed Fee Per Case ($)]]</f>
        <v>0</v>
      </c>
      <c r="W51" s="76" t="e">
        <f>(Table143812[[#This Row],[Commercial Bid Price per case for NOI ($)]]+Table143812[[#This Row],[Region 2: Fixed Fee Per Case ($)]])/Table143812[[#This Row],['# of CN Servings per case]]</f>
        <v>#DIV/0!</v>
      </c>
      <c r="X51" s="69" t="e">
        <f>Table143812[[#This Row],[Total Cost Per Serving (O+Q)/J]]*Table143812[[#This Row],[Estimated Servings Annual]]</f>
        <v>#DIV/0!</v>
      </c>
    </row>
    <row r="52" spans="1:24" x14ac:dyDescent="0.35">
      <c r="A52" s="30" t="s">
        <v>161</v>
      </c>
      <c r="B52" s="28" t="s">
        <v>168</v>
      </c>
      <c r="C52" s="7" t="s">
        <v>170</v>
      </c>
      <c r="D52" s="7"/>
      <c r="E52" s="7"/>
      <c r="F52" s="7"/>
      <c r="G52" s="7"/>
      <c r="H52" s="7"/>
      <c r="I52" s="7"/>
      <c r="J52" s="7"/>
      <c r="K52" s="49">
        <v>600000</v>
      </c>
      <c r="L52" s="7"/>
      <c r="M52" s="7"/>
      <c r="N52" s="7"/>
      <c r="O52" s="7"/>
      <c r="P52" s="7"/>
      <c r="Q52" s="7"/>
      <c r="R52" s="7"/>
      <c r="S52" s="70">
        <f>(Table143812[[#This Row],[Commercial Bid Price per case for NOI ($)]]-Table143812[[#This Row],[Pass-Thru Value per case ($)]])+Table143812[[#This Row],[Region 1: Fixed Fee Per Case ($)]]</f>
        <v>0</v>
      </c>
      <c r="T52" s="77" t="e">
        <f>(Table143812[[#This Row],[Commercial Bid Price per case for NOI ($)]]+Table143812[[#This Row],[Region 1: Fixed Fee Per Case ($)]])/Table143812[[#This Row],['# of CN Servings per case]]</f>
        <v>#DIV/0!</v>
      </c>
      <c r="U52" s="71" t="e">
        <f>Table143812[[#This Row],[Total Cost Per Serving (O+P)/J]]*Table143812[[#This Row],[Estimated Servings Annual]]</f>
        <v>#DIV/0!</v>
      </c>
      <c r="V52" s="70">
        <f>(Table143812[[#This Row],[Commercial Bid Price per case for NOI ($)]]-Table143812[[#This Row],[Pass-Thru Value per case ($)]])+Table143812[[#This Row],[Region 2: Fixed Fee Per Case ($)]]</f>
        <v>0</v>
      </c>
      <c r="W52" s="77" t="e">
        <f>(Table143812[[#This Row],[Commercial Bid Price per case for NOI ($)]]+Table143812[[#This Row],[Region 2: Fixed Fee Per Case ($)]])/Table143812[[#This Row],['# of CN Servings per case]]</f>
        <v>#DIV/0!</v>
      </c>
      <c r="X52" s="72" t="e">
        <f>Table143812[[#This Row],[Total Cost Per Serving (O+Q)/J]]*Table143812[[#This Row],[Estimated Servings Annual]]</f>
        <v>#DIV/0!</v>
      </c>
    </row>
    <row r="53" spans="1:24" x14ac:dyDescent="0.35">
      <c r="A53" s="30" t="s">
        <v>161</v>
      </c>
      <c r="B53" s="28" t="s">
        <v>168</v>
      </c>
      <c r="C53" s="7" t="s">
        <v>57</v>
      </c>
      <c r="D53" s="7"/>
      <c r="E53" s="7"/>
      <c r="F53" s="7"/>
      <c r="G53" s="7"/>
      <c r="H53" s="7"/>
      <c r="I53" s="7"/>
      <c r="J53" s="7"/>
      <c r="K53" s="49">
        <v>600000</v>
      </c>
      <c r="L53" s="7"/>
      <c r="M53" s="7"/>
      <c r="N53" s="7"/>
      <c r="O53" s="7"/>
      <c r="P53" s="7"/>
      <c r="Q53" s="7"/>
      <c r="R53" s="7"/>
      <c r="S53" s="70">
        <f>(Table143812[[#This Row],[Commercial Bid Price per case for NOI ($)]]-Table143812[[#This Row],[Pass-Thru Value per case ($)]])+Table143812[[#This Row],[Region 1: Fixed Fee Per Case ($)]]</f>
        <v>0</v>
      </c>
      <c r="T53" s="77" t="e">
        <f>(Table143812[[#This Row],[Commercial Bid Price per case for NOI ($)]]+Table143812[[#This Row],[Region 1: Fixed Fee Per Case ($)]])/Table143812[[#This Row],['# of CN Servings per case]]</f>
        <v>#DIV/0!</v>
      </c>
      <c r="U53" s="71" t="e">
        <f>Table143812[[#This Row],[Total Cost Per Serving (O+P)/J]]*Table143812[[#This Row],[Estimated Servings Annual]]</f>
        <v>#DIV/0!</v>
      </c>
      <c r="V53" s="70">
        <f>(Table143812[[#This Row],[Commercial Bid Price per case for NOI ($)]]-Table143812[[#This Row],[Pass-Thru Value per case ($)]])+Table143812[[#This Row],[Region 2: Fixed Fee Per Case ($)]]</f>
        <v>0</v>
      </c>
      <c r="W53" s="77" t="e">
        <f>(Table143812[[#This Row],[Commercial Bid Price per case for NOI ($)]]+Table143812[[#This Row],[Region 2: Fixed Fee Per Case ($)]])/Table143812[[#This Row],['# of CN Servings per case]]</f>
        <v>#DIV/0!</v>
      </c>
      <c r="X53" s="72" t="e">
        <f>Table143812[[#This Row],[Total Cost Per Serving (O+Q)/J]]*Table143812[[#This Row],[Estimated Servings Annual]]</f>
        <v>#DIV/0!</v>
      </c>
    </row>
    <row r="54" spans="1:24" x14ac:dyDescent="0.35">
      <c r="A54" s="30" t="s">
        <v>161</v>
      </c>
      <c r="B54" s="28" t="s">
        <v>168</v>
      </c>
      <c r="C54" s="7" t="s">
        <v>57</v>
      </c>
      <c r="D54" s="7"/>
      <c r="E54" s="7"/>
      <c r="F54" s="7"/>
      <c r="G54" s="7"/>
      <c r="H54" s="7"/>
      <c r="I54" s="7"/>
      <c r="J54" s="7"/>
      <c r="K54" s="49">
        <v>600000</v>
      </c>
      <c r="L54" s="7"/>
      <c r="M54" s="7"/>
      <c r="N54" s="7"/>
      <c r="O54" s="7"/>
      <c r="P54" s="7"/>
      <c r="Q54" s="7"/>
      <c r="R54" s="7"/>
      <c r="S54" s="70">
        <f>(Table143812[[#This Row],[Commercial Bid Price per case for NOI ($)]]-Table143812[[#This Row],[Pass-Thru Value per case ($)]])+Table143812[[#This Row],[Region 1: Fixed Fee Per Case ($)]]</f>
        <v>0</v>
      </c>
      <c r="T54" s="77" t="e">
        <f>(Table143812[[#This Row],[Commercial Bid Price per case for NOI ($)]]+Table143812[[#This Row],[Region 1: Fixed Fee Per Case ($)]])/Table143812[[#This Row],['# of CN Servings per case]]</f>
        <v>#DIV/0!</v>
      </c>
      <c r="U54" s="71" t="e">
        <f>Table143812[[#This Row],[Total Cost Per Serving (O+P)/J]]*Table143812[[#This Row],[Estimated Servings Annual]]</f>
        <v>#DIV/0!</v>
      </c>
      <c r="V54" s="70">
        <f>(Table143812[[#This Row],[Commercial Bid Price per case for NOI ($)]]-Table143812[[#This Row],[Pass-Thru Value per case ($)]])+Table143812[[#This Row],[Region 2: Fixed Fee Per Case ($)]]</f>
        <v>0</v>
      </c>
      <c r="W54" s="77" t="e">
        <f>(Table143812[[#This Row],[Commercial Bid Price per case for NOI ($)]]+Table143812[[#This Row],[Region 2: Fixed Fee Per Case ($)]])/Table143812[[#This Row],['# of CN Servings per case]]</f>
        <v>#DIV/0!</v>
      </c>
      <c r="X54" s="72" t="e">
        <f>Table143812[[#This Row],[Total Cost Per Serving (O+Q)/J]]*Table143812[[#This Row],[Estimated Servings Annual]]</f>
        <v>#DIV/0!</v>
      </c>
    </row>
    <row r="55" spans="1:24" x14ac:dyDescent="0.35">
      <c r="A55" s="30" t="s">
        <v>161</v>
      </c>
      <c r="B55" s="28" t="s">
        <v>168</v>
      </c>
      <c r="C55" s="7" t="s">
        <v>13</v>
      </c>
      <c r="D55" s="7"/>
      <c r="E55" s="7"/>
      <c r="F55" s="7"/>
      <c r="G55" s="7"/>
      <c r="H55" s="7"/>
      <c r="I55" s="7"/>
      <c r="J55" s="7"/>
      <c r="K55" s="49">
        <v>600000</v>
      </c>
      <c r="L55" s="7"/>
      <c r="M55" s="7"/>
      <c r="N55" s="7"/>
      <c r="O55" s="7"/>
      <c r="P55" s="7"/>
      <c r="Q55" s="7"/>
      <c r="R55" s="7"/>
      <c r="S55" s="70">
        <f>(Table143812[[#This Row],[Commercial Bid Price per case for NOI ($)]]-Table143812[[#This Row],[Pass-Thru Value per case ($)]])+Table143812[[#This Row],[Region 1: Fixed Fee Per Case ($)]]</f>
        <v>0</v>
      </c>
      <c r="T55" s="77" t="e">
        <f>(Table143812[[#This Row],[Commercial Bid Price per case for NOI ($)]]+Table143812[[#This Row],[Region 1: Fixed Fee Per Case ($)]])/Table143812[[#This Row],['# of CN Servings per case]]</f>
        <v>#DIV/0!</v>
      </c>
      <c r="U55" s="71" t="e">
        <f>Table143812[[#This Row],[Total Cost Per Serving (O+P)/J]]*Table143812[[#This Row],[Estimated Servings Annual]]</f>
        <v>#DIV/0!</v>
      </c>
      <c r="V55" s="70">
        <f>(Table143812[[#This Row],[Commercial Bid Price per case for NOI ($)]]-Table143812[[#This Row],[Pass-Thru Value per case ($)]])+Table143812[[#This Row],[Region 2: Fixed Fee Per Case ($)]]</f>
        <v>0</v>
      </c>
      <c r="W55" s="77" t="e">
        <f>(Table143812[[#This Row],[Commercial Bid Price per case for NOI ($)]]+Table143812[[#This Row],[Region 2: Fixed Fee Per Case ($)]])/Table143812[[#This Row],['# of CN Servings per case]]</f>
        <v>#DIV/0!</v>
      </c>
      <c r="X55" s="72" t="e">
        <f>Table143812[[#This Row],[Total Cost Per Serving (O+Q)/J]]*Table143812[[#This Row],[Estimated Servings Annual]]</f>
        <v>#DIV/0!</v>
      </c>
    </row>
    <row r="56" spans="1:24" x14ac:dyDescent="0.35">
      <c r="A56" s="30" t="s">
        <v>161</v>
      </c>
      <c r="B56" s="28" t="s">
        <v>168</v>
      </c>
      <c r="C56" s="7" t="s">
        <v>13</v>
      </c>
      <c r="D56" s="7"/>
      <c r="E56" s="7"/>
      <c r="F56" s="7"/>
      <c r="G56" s="7"/>
      <c r="H56" s="7"/>
      <c r="I56" s="7"/>
      <c r="J56" s="7"/>
      <c r="K56" s="49">
        <v>600000</v>
      </c>
      <c r="L56" s="7"/>
      <c r="M56" s="7"/>
      <c r="N56" s="7"/>
      <c r="O56" s="7"/>
      <c r="P56" s="7"/>
      <c r="Q56" s="7"/>
      <c r="R56" s="7"/>
      <c r="S56" s="70">
        <f>(Table143812[[#This Row],[Commercial Bid Price per case for NOI ($)]]-Table143812[[#This Row],[Pass-Thru Value per case ($)]])+Table143812[[#This Row],[Region 1: Fixed Fee Per Case ($)]]</f>
        <v>0</v>
      </c>
      <c r="T56" s="77" t="e">
        <f>(Table143812[[#This Row],[Commercial Bid Price per case for NOI ($)]]+Table143812[[#This Row],[Region 1: Fixed Fee Per Case ($)]])/Table143812[[#This Row],['# of CN Servings per case]]</f>
        <v>#DIV/0!</v>
      </c>
      <c r="U56" s="71" t="e">
        <f>Table143812[[#This Row],[Total Cost Per Serving (O+P)/J]]*Table143812[[#This Row],[Estimated Servings Annual]]</f>
        <v>#DIV/0!</v>
      </c>
      <c r="V56" s="70">
        <f>(Table143812[[#This Row],[Commercial Bid Price per case for NOI ($)]]-Table143812[[#This Row],[Pass-Thru Value per case ($)]])+Table143812[[#This Row],[Region 2: Fixed Fee Per Case ($)]]</f>
        <v>0</v>
      </c>
      <c r="W56" s="77" t="e">
        <f>(Table143812[[#This Row],[Commercial Bid Price per case for NOI ($)]]+Table143812[[#This Row],[Region 2: Fixed Fee Per Case ($)]])/Table143812[[#This Row],['# of CN Servings per case]]</f>
        <v>#DIV/0!</v>
      </c>
      <c r="X56" s="72" t="e">
        <f>Table143812[[#This Row],[Total Cost Per Serving (O+Q)/J]]*Table143812[[#This Row],[Estimated Servings Annual]]</f>
        <v>#DIV/0!</v>
      </c>
    </row>
    <row r="57" spans="1:24" x14ac:dyDescent="0.35">
      <c r="A57" s="30" t="s">
        <v>161</v>
      </c>
      <c r="B57" s="28" t="s">
        <v>168</v>
      </c>
      <c r="C57" s="7" t="s">
        <v>13</v>
      </c>
      <c r="D57" s="7"/>
      <c r="E57" s="7"/>
      <c r="F57" s="7"/>
      <c r="G57" s="7"/>
      <c r="H57" s="7"/>
      <c r="I57" s="7"/>
      <c r="J57" s="7"/>
      <c r="K57" s="49">
        <v>600000</v>
      </c>
      <c r="L57" s="7"/>
      <c r="M57" s="7"/>
      <c r="N57" s="7"/>
      <c r="O57" s="7"/>
      <c r="P57" s="7"/>
      <c r="Q57" s="7"/>
      <c r="R57" s="7"/>
      <c r="S57" s="70">
        <f>(Table143812[[#This Row],[Commercial Bid Price per case for NOI ($)]]-Table143812[[#This Row],[Pass-Thru Value per case ($)]])+Table143812[[#This Row],[Region 1: Fixed Fee Per Case ($)]]</f>
        <v>0</v>
      </c>
      <c r="T57" s="77" t="e">
        <f>(Table143812[[#This Row],[Commercial Bid Price per case for NOI ($)]]+Table143812[[#This Row],[Region 1: Fixed Fee Per Case ($)]])/Table143812[[#This Row],['# of CN Servings per case]]</f>
        <v>#DIV/0!</v>
      </c>
      <c r="U57" s="71" t="e">
        <f>Table143812[[#This Row],[Total Cost Per Serving (O+P)/J]]*Table143812[[#This Row],[Estimated Servings Annual]]</f>
        <v>#DIV/0!</v>
      </c>
      <c r="V57" s="70">
        <f>(Table143812[[#This Row],[Commercial Bid Price per case for NOI ($)]]-Table143812[[#This Row],[Pass-Thru Value per case ($)]])+Table143812[[#This Row],[Region 2: Fixed Fee Per Case ($)]]</f>
        <v>0</v>
      </c>
      <c r="W57" s="77" t="e">
        <f>(Table143812[[#This Row],[Commercial Bid Price per case for NOI ($)]]+Table143812[[#This Row],[Region 2: Fixed Fee Per Case ($)]])/Table143812[[#This Row],['# of CN Servings per case]]</f>
        <v>#DIV/0!</v>
      </c>
      <c r="X57" s="72" t="e">
        <f>Table143812[[#This Row],[Total Cost Per Serving (O+Q)/J]]*Table143812[[#This Row],[Estimated Servings Annual]]</f>
        <v>#DIV/0!</v>
      </c>
    </row>
    <row r="58" spans="1:24" ht="15" thickBot="1" x14ac:dyDescent="0.4">
      <c r="A58" s="30" t="s">
        <v>161</v>
      </c>
      <c r="B58" s="28" t="s">
        <v>168</v>
      </c>
      <c r="C58" s="8" t="s">
        <v>13</v>
      </c>
      <c r="D58" s="8"/>
      <c r="E58" s="8"/>
      <c r="F58" s="8"/>
      <c r="G58" s="8"/>
      <c r="H58" s="8"/>
      <c r="I58" s="8"/>
      <c r="J58" s="8"/>
      <c r="K58" s="49">
        <v>600000</v>
      </c>
      <c r="L58" s="8"/>
      <c r="M58" s="8"/>
      <c r="N58" s="8"/>
      <c r="O58" s="8"/>
      <c r="P58" s="8"/>
      <c r="Q58" s="8"/>
      <c r="R58" s="8"/>
      <c r="S58" s="73">
        <f>(Table143812[[#This Row],[Commercial Bid Price per case for NOI ($)]]-Table143812[[#This Row],[Pass-Thru Value per case ($)]])+Table143812[[#This Row],[Region 1: Fixed Fee Per Case ($)]]</f>
        <v>0</v>
      </c>
      <c r="T58" s="78" t="e">
        <f>(Table143812[[#This Row],[Commercial Bid Price per case for NOI ($)]]+Table143812[[#This Row],[Region 1: Fixed Fee Per Case ($)]])/Table143812[[#This Row],['# of CN Servings per case]]</f>
        <v>#DIV/0!</v>
      </c>
      <c r="U58" s="74" t="e">
        <f>Table143812[[#This Row],[Total Cost Per Serving (O+P)/J]]*Table143812[[#This Row],[Estimated Servings Annual]]</f>
        <v>#DIV/0!</v>
      </c>
      <c r="V58" s="73">
        <f>(Table143812[[#This Row],[Commercial Bid Price per case for NOI ($)]]-Table143812[[#This Row],[Pass-Thru Value per case ($)]])+Table143812[[#This Row],[Region 2: Fixed Fee Per Case ($)]]</f>
        <v>0</v>
      </c>
      <c r="W58" s="78" t="e">
        <f>(Table143812[[#This Row],[Commercial Bid Price per case for NOI ($)]]+Table143812[[#This Row],[Region 2: Fixed Fee Per Case ($)]])/Table143812[[#This Row],['# of CN Servings per case]]</f>
        <v>#DIV/0!</v>
      </c>
      <c r="X58" s="75" t="e">
        <f>Table143812[[#This Row],[Total Cost Per Serving (O+Q)/J]]*Table143812[[#This Row],[Estimated Servings Annual]]</f>
        <v>#DIV/0!</v>
      </c>
    </row>
    <row r="59" spans="1:24" x14ac:dyDescent="0.35">
      <c r="A59" s="30" t="s">
        <v>161</v>
      </c>
      <c r="B59" s="42" t="s">
        <v>169</v>
      </c>
      <c r="C59" s="6" t="s">
        <v>170</v>
      </c>
      <c r="D59" s="6"/>
      <c r="E59" s="6"/>
      <c r="F59" s="6"/>
      <c r="G59" s="6"/>
      <c r="H59" s="6"/>
      <c r="I59" s="6"/>
      <c r="J59" s="6"/>
      <c r="K59" s="48">
        <v>325000</v>
      </c>
      <c r="L59" s="6"/>
      <c r="M59" s="6"/>
      <c r="N59" s="6"/>
      <c r="O59" s="6"/>
      <c r="P59" s="6"/>
      <c r="Q59" s="6"/>
      <c r="R59" s="6"/>
      <c r="S59" s="79">
        <f>(Table143812[[#This Row],[Commercial Bid Price per case for NOI ($)]]-Table143812[[#This Row],[Pass-Thru Value per case ($)]])+Table143812[[#This Row],[Region 1: Fixed Fee Per Case ($)]]</f>
        <v>0</v>
      </c>
      <c r="T59" s="76" t="e">
        <f>(Table143812[[#This Row],[Commercial Bid Price per case for NOI ($)]]+Table143812[[#This Row],[Region 1: Fixed Fee Per Case ($)]])/Table143812[[#This Row],['# of CN Servings per case]]</f>
        <v>#DIV/0!</v>
      </c>
      <c r="U59" s="76" t="e">
        <f>Table143812[[#This Row],[Total Cost Per Serving (O+P)/J]]*Table143812[[#This Row],[Estimated Servings Annual]]</f>
        <v>#DIV/0!</v>
      </c>
      <c r="V59" s="79">
        <f>(Table143812[[#This Row],[Commercial Bid Price per case for NOI ($)]]-Table143812[[#This Row],[Pass-Thru Value per case ($)]])+Table143812[[#This Row],[Region 2: Fixed Fee Per Case ($)]]</f>
        <v>0</v>
      </c>
      <c r="W59" s="76" t="e">
        <f>(Table143812[[#This Row],[Commercial Bid Price per case for NOI ($)]]+Table143812[[#This Row],[Region 2: Fixed Fee Per Case ($)]])/Table143812[[#This Row],['# of CN Servings per case]]</f>
        <v>#DIV/0!</v>
      </c>
      <c r="X59" s="80" t="e">
        <f>Table143812[[#This Row],[Total Cost Per Serving (O+Q)/J]]*Table143812[[#This Row],[Estimated Servings Annual]]</f>
        <v>#DIV/0!</v>
      </c>
    </row>
    <row r="60" spans="1:24" x14ac:dyDescent="0.35">
      <c r="A60" s="30" t="s">
        <v>161</v>
      </c>
      <c r="B60" s="28" t="s">
        <v>169</v>
      </c>
      <c r="C60" s="7" t="s">
        <v>170</v>
      </c>
      <c r="D60" s="7"/>
      <c r="E60" s="7"/>
      <c r="F60" s="7"/>
      <c r="G60" s="7"/>
      <c r="H60" s="7"/>
      <c r="I60" s="7"/>
      <c r="J60" s="7"/>
      <c r="K60" s="49">
        <v>325000</v>
      </c>
      <c r="L60" s="7"/>
      <c r="M60" s="7"/>
      <c r="N60" s="7"/>
      <c r="O60" s="7"/>
      <c r="P60" s="7"/>
      <c r="Q60" s="7"/>
      <c r="R60" s="7"/>
      <c r="S60" s="81">
        <f>(Table143812[[#This Row],[Commercial Bid Price per case for NOI ($)]]-Table143812[[#This Row],[Pass-Thru Value per case ($)]])+Table143812[[#This Row],[Region 1: Fixed Fee Per Case ($)]]</f>
        <v>0</v>
      </c>
      <c r="T60" s="77" t="e">
        <f>(Table143812[[#This Row],[Commercial Bid Price per case for NOI ($)]]+Table143812[[#This Row],[Region 1: Fixed Fee Per Case ($)]])/Table143812[[#This Row],['# of CN Servings per case]]</f>
        <v>#DIV/0!</v>
      </c>
      <c r="U60" s="77" t="e">
        <f>Table143812[[#This Row],[Total Cost Per Serving (O+P)/J]]*Table143812[[#This Row],[Estimated Servings Annual]]</f>
        <v>#DIV/0!</v>
      </c>
      <c r="V60" s="81">
        <f>(Table143812[[#This Row],[Commercial Bid Price per case for NOI ($)]]-Table143812[[#This Row],[Pass-Thru Value per case ($)]])+Table143812[[#This Row],[Region 2: Fixed Fee Per Case ($)]]</f>
        <v>0</v>
      </c>
      <c r="W60" s="77" t="e">
        <f>(Table143812[[#This Row],[Commercial Bid Price per case for NOI ($)]]+Table143812[[#This Row],[Region 2: Fixed Fee Per Case ($)]])/Table143812[[#This Row],['# of CN Servings per case]]</f>
        <v>#DIV/0!</v>
      </c>
      <c r="X60" s="82" t="e">
        <f>Table143812[[#This Row],[Total Cost Per Serving (O+Q)/J]]*Table143812[[#This Row],[Estimated Servings Annual]]</f>
        <v>#DIV/0!</v>
      </c>
    </row>
    <row r="61" spans="1:24" x14ac:dyDescent="0.35">
      <c r="A61" s="30" t="s">
        <v>161</v>
      </c>
      <c r="B61" s="28" t="s">
        <v>169</v>
      </c>
      <c r="C61" s="7" t="s">
        <v>57</v>
      </c>
      <c r="D61" s="7"/>
      <c r="E61" s="7"/>
      <c r="F61" s="7"/>
      <c r="G61" s="7"/>
      <c r="H61" s="7"/>
      <c r="I61" s="7"/>
      <c r="J61" s="7"/>
      <c r="K61" s="49">
        <v>325000</v>
      </c>
      <c r="L61" s="7"/>
      <c r="M61" s="7"/>
      <c r="N61" s="7"/>
      <c r="O61" s="7"/>
      <c r="P61" s="7"/>
      <c r="Q61" s="7"/>
      <c r="R61" s="7"/>
      <c r="S61" s="81">
        <f>(Table143812[[#This Row],[Commercial Bid Price per case for NOI ($)]]-Table143812[[#This Row],[Pass-Thru Value per case ($)]])+Table143812[[#This Row],[Region 1: Fixed Fee Per Case ($)]]</f>
        <v>0</v>
      </c>
      <c r="T61" s="77" t="e">
        <f>(Table143812[[#This Row],[Commercial Bid Price per case for NOI ($)]]+Table143812[[#This Row],[Region 1: Fixed Fee Per Case ($)]])/Table143812[[#This Row],['# of CN Servings per case]]</f>
        <v>#DIV/0!</v>
      </c>
      <c r="U61" s="77" t="e">
        <f>Table143812[[#This Row],[Total Cost Per Serving (O+P)/J]]*Table143812[[#This Row],[Estimated Servings Annual]]</f>
        <v>#DIV/0!</v>
      </c>
      <c r="V61" s="81">
        <f>(Table143812[[#This Row],[Commercial Bid Price per case for NOI ($)]]-Table143812[[#This Row],[Pass-Thru Value per case ($)]])+Table143812[[#This Row],[Region 2: Fixed Fee Per Case ($)]]</f>
        <v>0</v>
      </c>
      <c r="W61" s="77" t="e">
        <f>(Table143812[[#This Row],[Commercial Bid Price per case for NOI ($)]]+Table143812[[#This Row],[Region 2: Fixed Fee Per Case ($)]])/Table143812[[#This Row],['# of CN Servings per case]]</f>
        <v>#DIV/0!</v>
      </c>
      <c r="X61" s="82" t="e">
        <f>Table143812[[#This Row],[Total Cost Per Serving (O+Q)/J]]*Table143812[[#This Row],[Estimated Servings Annual]]</f>
        <v>#DIV/0!</v>
      </c>
    </row>
    <row r="62" spans="1:24" x14ac:dyDescent="0.35">
      <c r="A62" s="30" t="s">
        <v>161</v>
      </c>
      <c r="B62" s="28" t="s">
        <v>169</v>
      </c>
      <c r="C62" s="7" t="s">
        <v>57</v>
      </c>
      <c r="D62" s="7"/>
      <c r="E62" s="7"/>
      <c r="F62" s="7"/>
      <c r="G62" s="7"/>
      <c r="H62" s="7"/>
      <c r="I62" s="7"/>
      <c r="J62" s="7"/>
      <c r="K62" s="49">
        <v>325000</v>
      </c>
      <c r="L62" s="7"/>
      <c r="M62" s="7"/>
      <c r="N62" s="7"/>
      <c r="O62" s="7"/>
      <c r="P62" s="7"/>
      <c r="Q62" s="7"/>
      <c r="R62" s="7"/>
      <c r="S62" s="81">
        <f>(Table143812[[#This Row],[Commercial Bid Price per case for NOI ($)]]-Table143812[[#This Row],[Pass-Thru Value per case ($)]])+Table143812[[#This Row],[Region 1: Fixed Fee Per Case ($)]]</f>
        <v>0</v>
      </c>
      <c r="T62" s="77" t="e">
        <f>(Table143812[[#This Row],[Commercial Bid Price per case for NOI ($)]]+Table143812[[#This Row],[Region 1: Fixed Fee Per Case ($)]])/Table143812[[#This Row],['# of CN Servings per case]]</f>
        <v>#DIV/0!</v>
      </c>
      <c r="U62" s="77" t="e">
        <f>Table143812[[#This Row],[Total Cost Per Serving (O+P)/J]]*Table143812[[#This Row],[Estimated Servings Annual]]</f>
        <v>#DIV/0!</v>
      </c>
      <c r="V62" s="81">
        <f>(Table143812[[#This Row],[Commercial Bid Price per case for NOI ($)]]-Table143812[[#This Row],[Pass-Thru Value per case ($)]])+Table143812[[#This Row],[Region 2: Fixed Fee Per Case ($)]]</f>
        <v>0</v>
      </c>
      <c r="W62" s="77" t="e">
        <f>(Table143812[[#This Row],[Commercial Bid Price per case for NOI ($)]]+Table143812[[#This Row],[Region 2: Fixed Fee Per Case ($)]])/Table143812[[#This Row],['# of CN Servings per case]]</f>
        <v>#DIV/0!</v>
      </c>
      <c r="X62" s="82" t="e">
        <f>Table143812[[#This Row],[Total Cost Per Serving (O+Q)/J]]*Table143812[[#This Row],[Estimated Servings Annual]]</f>
        <v>#DIV/0!</v>
      </c>
    </row>
    <row r="63" spans="1:24" x14ac:dyDescent="0.35">
      <c r="A63" s="30" t="s">
        <v>161</v>
      </c>
      <c r="B63" s="28" t="s">
        <v>169</v>
      </c>
      <c r="C63" s="7" t="s">
        <v>13</v>
      </c>
      <c r="D63" s="7"/>
      <c r="E63" s="7"/>
      <c r="F63" s="7"/>
      <c r="G63" s="7"/>
      <c r="H63" s="7"/>
      <c r="I63" s="7"/>
      <c r="J63" s="7"/>
      <c r="K63" s="49">
        <v>325000</v>
      </c>
      <c r="L63" s="7"/>
      <c r="M63" s="7"/>
      <c r="N63" s="7"/>
      <c r="O63" s="7"/>
      <c r="P63" s="7"/>
      <c r="Q63" s="7"/>
      <c r="R63" s="7"/>
      <c r="S63" s="81">
        <f>(Table143812[[#This Row],[Commercial Bid Price per case for NOI ($)]]-Table143812[[#This Row],[Pass-Thru Value per case ($)]])+Table143812[[#This Row],[Region 1: Fixed Fee Per Case ($)]]</f>
        <v>0</v>
      </c>
      <c r="T63" s="77" t="e">
        <f>(Table143812[[#This Row],[Commercial Bid Price per case for NOI ($)]]+Table143812[[#This Row],[Region 1: Fixed Fee Per Case ($)]])/Table143812[[#This Row],['# of CN Servings per case]]</f>
        <v>#DIV/0!</v>
      </c>
      <c r="U63" s="77" t="e">
        <f>Table143812[[#This Row],[Total Cost Per Serving (O+P)/J]]*Table143812[[#This Row],[Estimated Servings Annual]]</f>
        <v>#DIV/0!</v>
      </c>
      <c r="V63" s="81">
        <f>(Table143812[[#This Row],[Commercial Bid Price per case for NOI ($)]]-Table143812[[#This Row],[Pass-Thru Value per case ($)]])+Table143812[[#This Row],[Region 2: Fixed Fee Per Case ($)]]</f>
        <v>0</v>
      </c>
      <c r="W63" s="77" t="e">
        <f>(Table143812[[#This Row],[Commercial Bid Price per case for NOI ($)]]+Table143812[[#This Row],[Region 2: Fixed Fee Per Case ($)]])/Table143812[[#This Row],['# of CN Servings per case]]</f>
        <v>#DIV/0!</v>
      </c>
      <c r="X63" s="82" t="e">
        <f>Table143812[[#This Row],[Total Cost Per Serving (O+Q)/J]]*Table143812[[#This Row],[Estimated Servings Annual]]</f>
        <v>#DIV/0!</v>
      </c>
    </row>
    <row r="64" spans="1:24" x14ac:dyDescent="0.35">
      <c r="A64" s="30" t="s">
        <v>161</v>
      </c>
      <c r="B64" s="28" t="s">
        <v>169</v>
      </c>
      <c r="C64" s="7" t="s">
        <v>13</v>
      </c>
      <c r="D64" s="7"/>
      <c r="E64" s="7"/>
      <c r="F64" s="7"/>
      <c r="G64" s="7"/>
      <c r="H64" s="7"/>
      <c r="I64" s="7"/>
      <c r="J64" s="7"/>
      <c r="K64" s="49">
        <v>325000</v>
      </c>
      <c r="L64" s="7"/>
      <c r="M64" s="7"/>
      <c r="N64" s="7"/>
      <c r="O64" s="7"/>
      <c r="P64" s="7"/>
      <c r="Q64" s="7"/>
      <c r="R64" s="7"/>
      <c r="S64" s="81">
        <f>(Table143812[[#This Row],[Commercial Bid Price per case for NOI ($)]]-Table143812[[#This Row],[Pass-Thru Value per case ($)]])+Table143812[[#This Row],[Region 1: Fixed Fee Per Case ($)]]</f>
        <v>0</v>
      </c>
      <c r="T64" s="77" t="e">
        <f>(Table143812[[#This Row],[Commercial Bid Price per case for NOI ($)]]+Table143812[[#This Row],[Region 1: Fixed Fee Per Case ($)]])/Table143812[[#This Row],['# of CN Servings per case]]</f>
        <v>#DIV/0!</v>
      </c>
      <c r="U64" s="77" t="e">
        <f>Table143812[[#This Row],[Total Cost Per Serving (O+P)/J]]*Table143812[[#This Row],[Estimated Servings Annual]]</f>
        <v>#DIV/0!</v>
      </c>
      <c r="V64" s="81">
        <f>(Table143812[[#This Row],[Commercial Bid Price per case for NOI ($)]]-Table143812[[#This Row],[Pass-Thru Value per case ($)]])+Table143812[[#This Row],[Region 2: Fixed Fee Per Case ($)]]</f>
        <v>0</v>
      </c>
      <c r="W64" s="77" t="e">
        <f>(Table143812[[#This Row],[Commercial Bid Price per case for NOI ($)]]+Table143812[[#This Row],[Region 2: Fixed Fee Per Case ($)]])/Table143812[[#This Row],['# of CN Servings per case]]</f>
        <v>#DIV/0!</v>
      </c>
      <c r="X64" s="82" t="e">
        <f>Table143812[[#This Row],[Total Cost Per Serving (O+Q)/J]]*Table143812[[#This Row],[Estimated Servings Annual]]</f>
        <v>#DIV/0!</v>
      </c>
    </row>
    <row r="65" spans="1:24" x14ac:dyDescent="0.35">
      <c r="A65" s="30" t="s">
        <v>161</v>
      </c>
      <c r="B65" s="28" t="s">
        <v>169</v>
      </c>
      <c r="C65" s="7" t="s">
        <v>13</v>
      </c>
      <c r="D65" s="7"/>
      <c r="E65" s="7"/>
      <c r="F65" s="7"/>
      <c r="G65" s="7"/>
      <c r="H65" s="7"/>
      <c r="I65" s="7"/>
      <c r="J65" s="7"/>
      <c r="K65" s="49">
        <v>325000</v>
      </c>
      <c r="L65" s="7"/>
      <c r="M65" s="7"/>
      <c r="N65" s="7"/>
      <c r="O65" s="7"/>
      <c r="P65" s="7"/>
      <c r="Q65" s="7"/>
      <c r="R65" s="7"/>
      <c r="S65" s="81">
        <f>(Table143812[[#This Row],[Commercial Bid Price per case for NOI ($)]]-Table143812[[#This Row],[Pass-Thru Value per case ($)]])+Table143812[[#This Row],[Region 1: Fixed Fee Per Case ($)]]</f>
        <v>0</v>
      </c>
      <c r="T65" s="77" t="e">
        <f>(Table143812[[#This Row],[Commercial Bid Price per case for NOI ($)]]+Table143812[[#This Row],[Region 1: Fixed Fee Per Case ($)]])/Table143812[[#This Row],['# of CN Servings per case]]</f>
        <v>#DIV/0!</v>
      </c>
      <c r="U65" s="77" t="e">
        <f>Table143812[[#This Row],[Total Cost Per Serving (O+P)/J]]*Table143812[[#This Row],[Estimated Servings Annual]]</f>
        <v>#DIV/0!</v>
      </c>
      <c r="V65" s="81">
        <f>(Table143812[[#This Row],[Commercial Bid Price per case for NOI ($)]]-Table143812[[#This Row],[Pass-Thru Value per case ($)]])+Table143812[[#This Row],[Region 2: Fixed Fee Per Case ($)]]</f>
        <v>0</v>
      </c>
      <c r="W65" s="77" t="e">
        <f>(Table143812[[#This Row],[Commercial Bid Price per case for NOI ($)]]+Table143812[[#This Row],[Region 2: Fixed Fee Per Case ($)]])/Table143812[[#This Row],['# of CN Servings per case]]</f>
        <v>#DIV/0!</v>
      </c>
      <c r="X65" s="82" t="e">
        <f>Table143812[[#This Row],[Total Cost Per Serving (O+Q)/J]]*Table143812[[#This Row],[Estimated Servings Annual]]</f>
        <v>#DIV/0!</v>
      </c>
    </row>
    <row r="66" spans="1:24" ht="15" thickBot="1" x14ac:dyDescent="0.4">
      <c r="A66" s="30" t="s">
        <v>161</v>
      </c>
      <c r="B66" s="28" t="s">
        <v>169</v>
      </c>
      <c r="C66" s="8" t="s">
        <v>13</v>
      </c>
      <c r="D66" s="8"/>
      <c r="E66" s="8"/>
      <c r="F66" s="8"/>
      <c r="G66" s="8"/>
      <c r="H66" s="8"/>
      <c r="I66" s="8"/>
      <c r="J66" s="8"/>
      <c r="K66" s="49">
        <v>325000</v>
      </c>
      <c r="L66" s="8"/>
      <c r="M66" s="8"/>
      <c r="N66" s="8"/>
      <c r="O66" s="8"/>
      <c r="P66" s="8"/>
      <c r="Q66" s="8"/>
      <c r="R66" s="8"/>
      <c r="S66" s="83">
        <f>(Table143812[[#This Row],[Commercial Bid Price per case for NOI ($)]]-Table143812[[#This Row],[Pass-Thru Value per case ($)]])+Table143812[[#This Row],[Region 1: Fixed Fee Per Case ($)]]</f>
        <v>0</v>
      </c>
      <c r="T66" s="78" t="e">
        <f>(Table143812[[#This Row],[Commercial Bid Price per case for NOI ($)]]+Table143812[[#This Row],[Region 1: Fixed Fee Per Case ($)]])/Table143812[[#This Row],['# of CN Servings per case]]</f>
        <v>#DIV/0!</v>
      </c>
      <c r="U66" s="78" t="e">
        <f>Table143812[[#This Row],[Total Cost Per Serving (O+P)/J]]*Table143812[[#This Row],[Estimated Servings Annual]]</f>
        <v>#DIV/0!</v>
      </c>
      <c r="V66" s="83">
        <f>(Table143812[[#This Row],[Commercial Bid Price per case for NOI ($)]]-Table143812[[#This Row],[Pass-Thru Value per case ($)]])+Table143812[[#This Row],[Region 2: Fixed Fee Per Case ($)]]</f>
        <v>0</v>
      </c>
      <c r="W66" s="78" t="e">
        <f>(Table143812[[#This Row],[Commercial Bid Price per case for NOI ($)]]+Table143812[[#This Row],[Region 2: Fixed Fee Per Case ($)]])/Table143812[[#This Row],['# of CN Servings per case]]</f>
        <v>#DIV/0!</v>
      </c>
      <c r="X66" s="84" t="e">
        <f>Table143812[[#This Row],[Total Cost Per Serving (O+Q)/J]]*Table143812[[#This Row],[Estimated Servings Annual]]</f>
        <v>#DIV/0!</v>
      </c>
    </row>
  </sheetData>
  <sheetProtection algorithmName="SHA-512" hashValue="falTT7HQo2TBkaQTzieSDX8JrU2hqgTP2UXBk8GoTxCcHodXbVOO+n4uokSkx5QhZuGVd6FeUz0jT+nVHfxMPQ==" saltValue="T0lxn9aM+V+jvKKtKXmgUA==" spinCount="100000" sheet="1" objects="1" scenarios="1" formatCells="0" formatColumns="0"/>
  <mergeCells count="3">
    <mergeCell ref="E1:G1"/>
    <mergeCell ref="S1:U1"/>
    <mergeCell ref="V1:X1"/>
  </mergeCells>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55038-B9C6-4B77-9B95-0543F0A3B053}">
  <sheetPr codeName="Sheet12"/>
  <dimension ref="A1:X66"/>
  <sheetViews>
    <sheetView workbookViewId="0">
      <pane xSplit="3" ySplit="2" topLeftCell="D3" activePane="bottomRight" state="frozen"/>
      <selection activeCell="A24" sqref="A24"/>
      <selection pane="topRight" activeCell="A24" sqref="A24"/>
      <selection pane="bottomLeft" activeCell="A24" sqref="A24"/>
      <selection pane="bottomRight" activeCell="A24" sqref="A24"/>
    </sheetView>
  </sheetViews>
  <sheetFormatPr defaultColWidth="11" defaultRowHeight="14.5" x14ac:dyDescent="0.35"/>
  <cols>
    <col min="1" max="1" width="12.81640625" style="9" bestFit="1" customWidth="1"/>
    <col min="2" max="2" width="26" style="9" bestFit="1" customWidth="1"/>
    <col min="3" max="3" width="19.7265625" style="9" bestFit="1" customWidth="1"/>
    <col min="4" max="4" width="20.81640625" style="9" bestFit="1" customWidth="1"/>
    <col min="5" max="5" width="26.26953125" style="9" bestFit="1" customWidth="1"/>
    <col min="6" max="6" width="12.90625" style="9" bestFit="1" customWidth="1"/>
    <col min="7" max="7" width="15" style="9" bestFit="1" customWidth="1"/>
    <col min="8" max="8" width="14.54296875" style="9" bestFit="1" customWidth="1"/>
    <col min="9" max="9" width="9.54296875" style="9" bestFit="1" customWidth="1"/>
    <col min="10" max="10" width="13.6328125" style="63" bestFit="1" customWidth="1"/>
    <col min="11" max="11" width="11.7265625" style="9" bestFit="1" customWidth="1"/>
    <col min="12" max="12" width="10.453125" style="9" bestFit="1" customWidth="1"/>
    <col min="13" max="13" width="14.26953125" style="9" bestFit="1" customWidth="1"/>
    <col min="14" max="14" width="11.453125" style="9" bestFit="1" customWidth="1"/>
    <col min="15" max="15" width="17.81640625" style="9" bestFit="1" customWidth="1"/>
    <col min="16" max="17" width="16.90625" style="9" bestFit="1" customWidth="1"/>
    <col min="18" max="18" width="14.54296875" style="9" bestFit="1" customWidth="1"/>
    <col min="19" max="19" width="14.1796875" style="9" bestFit="1" customWidth="1"/>
    <col min="20" max="20" width="16.36328125" style="9" bestFit="1" customWidth="1"/>
    <col min="21" max="21" width="11.54296875" style="9" bestFit="1" customWidth="1"/>
    <col min="22" max="22" width="14.1796875" style="9" bestFit="1" customWidth="1"/>
    <col min="23" max="23" width="16.6328125" style="9" bestFit="1" customWidth="1"/>
    <col min="24" max="24" width="11.54296875" style="9" bestFit="1" customWidth="1"/>
    <col min="25" max="16384" width="11" style="9"/>
  </cols>
  <sheetData>
    <row r="1" spans="1:24" x14ac:dyDescent="0.35">
      <c r="D1" s="10" t="s">
        <v>63</v>
      </c>
      <c r="E1" s="97">
        <f>Instructions!A2</f>
        <v>0</v>
      </c>
      <c r="F1" s="97"/>
      <c r="G1" s="97"/>
      <c r="S1" s="98" t="s">
        <v>72</v>
      </c>
      <c r="T1" s="99"/>
      <c r="U1" s="100"/>
      <c r="V1" s="101" t="s">
        <v>73</v>
      </c>
      <c r="W1" s="102"/>
      <c r="X1" s="102"/>
    </row>
    <row r="2" spans="1:24" s="10" customFormat="1" ht="58.5" thickBot="1" x14ac:dyDescent="0.4">
      <c r="A2" s="10" t="s">
        <v>14</v>
      </c>
      <c r="B2" s="10" t="s">
        <v>3</v>
      </c>
      <c r="C2" s="10" t="s">
        <v>23</v>
      </c>
      <c r="D2" s="10" t="s">
        <v>66</v>
      </c>
      <c r="E2" s="10" t="s">
        <v>182</v>
      </c>
      <c r="F2" s="10" t="s">
        <v>0</v>
      </c>
      <c r="G2" s="10" t="s">
        <v>4</v>
      </c>
      <c r="H2" s="10" t="s">
        <v>20</v>
      </c>
      <c r="I2" s="10" t="s">
        <v>1</v>
      </c>
      <c r="J2" s="10" t="s">
        <v>5</v>
      </c>
      <c r="K2" s="18" t="s">
        <v>6</v>
      </c>
      <c r="L2" s="10" t="s">
        <v>2</v>
      </c>
      <c r="M2" s="10" t="s">
        <v>21</v>
      </c>
      <c r="N2" s="10" t="s">
        <v>65</v>
      </c>
      <c r="O2" s="10" t="s">
        <v>22</v>
      </c>
      <c r="P2" s="10" t="s">
        <v>70</v>
      </c>
      <c r="Q2" s="10" t="s">
        <v>71</v>
      </c>
      <c r="R2" s="10" t="s">
        <v>19</v>
      </c>
      <c r="S2" s="64" t="s">
        <v>77</v>
      </c>
      <c r="T2" s="65" t="s">
        <v>79</v>
      </c>
      <c r="U2" s="66" t="s">
        <v>80</v>
      </c>
      <c r="V2" s="64" t="s">
        <v>78</v>
      </c>
      <c r="W2" s="65" t="s">
        <v>81</v>
      </c>
      <c r="X2" s="66" t="s">
        <v>82</v>
      </c>
    </row>
    <row r="3" spans="1:24" x14ac:dyDescent="0.35">
      <c r="A3" s="29" t="s">
        <v>171</v>
      </c>
      <c r="B3" s="42" t="s">
        <v>172</v>
      </c>
      <c r="C3" s="6" t="s">
        <v>180</v>
      </c>
      <c r="D3" s="6"/>
      <c r="E3" s="6"/>
      <c r="F3" s="6"/>
      <c r="G3" s="6"/>
      <c r="H3" s="6"/>
      <c r="I3" s="6"/>
      <c r="J3" s="6"/>
      <c r="K3" s="48">
        <v>150000</v>
      </c>
      <c r="L3" s="6"/>
      <c r="M3" s="6"/>
      <c r="N3" s="6"/>
      <c r="O3" s="6"/>
      <c r="P3" s="6"/>
      <c r="Q3" s="6"/>
      <c r="R3" s="6"/>
      <c r="S3" s="67">
        <f>(Table143891011[[#This Row],[Commercial Bid Price per case for NOI ($)]]-Table143891011[[#This Row],[Pass-Thru Value per case ($)]])+Table143891011[[#This Row],[Region 1: Fixed Fee Per Case ($)]]</f>
        <v>0</v>
      </c>
      <c r="T3" s="68" t="e">
        <f>(Table143891011[[#This Row],[Commercial Bid Price per case for NOI ($)]]+Table143891011[[#This Row],[Region 1: Fixed Fee Per Case ($)]])/Table143891011[[#This Row],['# of CN Servings per case]]</f>
        <v>#DIV/0!</v>
      </c>
      <c r="U3" s="68" t="e">
        <f>Table143891011[[#This Row],[Total Cost Per Serving (O+P)/J]]*Table143891011[[#This Row],[Estimated Servings Annual]]</f>
        <v>#DIV/0!</v>
      </c>
      <c r="V3" s="67">
        <f>(Table143891011[[#This Row],[Commercial Bid Price per case for NOI ($)]]-Table143891011[[#This Row],[Pass-Thru Value per case ($)]])+Table143891011[[#This Row],[Region 2: Fixed Fee Per Case ($)]]</f>
        <v>0</v>
      </c>
      <c r="W3" s="68" t="e">
        <f>(Table143891011[[#This Row],[Commercial Bid Price per case for NOI ($)]]+Table143891011[[#This Row],[Region 2: Fixed Fee Per Case ($)]])/Table143891011[[#This Row],['# of CN Servings per case]]</f>
        <v>#DIV/0!</v>
      </c>
      <c r="X3" s="69" t="e">
        <f>Table143891011[[#This Row],[Total Cost Per Serving (O+Q)/J]]*Table143891011[[#This Row],[Estimated Servings Annual]]</f>
        <v>#DIV/0!</v>
      </c>
    </row>
    <row r="4" spans="1:24" x14ac:dyDescent="0.35">
      <c r="A4" s="30" t="s">
        <v>171</v>
      </c>
      <c r="B4" s="28" t="s">
        <v>172</v>
      </c>
      <c r="C4" s="7" t="s">
        <v>180</v>
      </c>
      <c r="D4" s="7"/>
      <c r="E4" s="7"/>
      <c r="F4" s="7"/>
      <c r="G4" s="7"/>
      <c r="H4" s="7"/>
      <c r="I4" s="7"/>
      <c r="J4" s="7"/>
      <c r="K4" s="49">
        <v>150000</v>
      </c>
      <c r="L4" s="7"/>
      <c r="M4" s="7"/>
      <c r="N4" s="7"/>
      <c r="O4" s="7"/>
      <c r="P4" s="7"/>
      <c r="Q4" s="7"/>
      <c r="R4" s="7"/>
      <c r="S4" s="70">
        <f>(Table143891011[[#This Row],[Commercial Bid Price per case for NOI ($)]]-Table143891011[[#This Row],[Pass-Thru Value per case ($)]])+Table143891011[[#This Row],[Region 1: Fixed Fee Per Case ($)]]</f>
        <v>0</v>
      </c>
      <c r="T4" s="71" t="e">
        <f>(Table143891011[[#This Row],[Commercial Bid Price per case for NOI ($)]]+Table143891011[[#This Row],[Region 1: Fixed Fee Per Case ($)]])/Table143891011[[#This Row],['# of CN Servings per case]]</f>
        <v>#DIV/0!</v>
      </c>
      <c r="U4" s="71" t="e">
        <f>Table143891011[[#This Row],[Total Cost Per Serving (O+P)/J]]*Table143891011[[#This Row],[Estimated Servings Annual]]</f>
        <v>#DIV/0!</v>
      </c>
      <c r="V4" s="70">
        <f>(Table143891011[[#This Row],[Commercial Bid Price per case for NOI ($)]]-Table143891011[[#This Row],[Pass-Thru Value per case ($)]])+Table143891011[[#This Row],[Region 2: Fixed Fee Per Case ($)]]</f>
        <v>0</v>
      </c>
      <c r="W4" s="71" t="e">
        <f>(Table143891011[[#This Row],[Commercial Bid Price per case for NOI ($)]]+Table143891011[[#This Row],[Region 2: Fixed Fee Per Case ($)]])/Table143891011[[#This Row],['# of CN Servings per case]]</f>
        <v>#DIV/0!</v>
      </c>
      <c r="X4" s="72" t="e">
        <f>Table143891011[[#This Row],[Total Cost Per Serving (O+Q)/J]]*Table143891011[[#This Row],[Estimated Servings Annual]]</f>
        <v>#DIV/0!</v>
      </c>
    </row>
    <row r="5" spans="1:24" x14ac:dyDescent="0.35">
      <c r="A5" s="30" t="s">
        <v>171</v>
      </c>
      <c r="B5" s="28" t="s">
        <v>172</v>
      </c>
      <c r="C5" s="7" t="s">
        <v>181</v>
      </c>
      <c r="D5" s="7"/>
      <c r="E5" s="7"/>
      <c r="F5" s="7"/>
      <c r="G5" s="7"/>
      <c r="H5" s="7"/>
      <c r="I5" s="7"/>
      <c r="J5" s="7"/>
      <c r="K5" s="49">
        <v>150000</v>
      </c>
      <c r="L5" s="7"/>
      <c r="M5" s="7"/>
      <c r="N5" s="7"/>
      <c r="O5" s="7"/>
      <c r="P5" s="7"/>
      <c r="Q5" s="7"/>
      <c r="R5" s="7"/>
      <c r="S5" s="70">
        <f>(Table143891011[[#This Row],[Commercial Bid Price per case for NOI ($)]]-Table143891011[[#This Row],[Pass-Thru Value per case ($)]])+Table143891011[[#This Row],[Region 1: Fixed Fee Per Case ($)]]</f>
        <v>0</v>
      </c>
      <c r="T5" s="71" t="e">
        <f>(Table143891011[[#This Row],[Commercial Bid Price per case for NOI ($)]]+Table143891011[[#This Row],[Region 1: Fixed Fee Per Case ($)]])/Table143891011[[#This Row],['# of CN Servings per case]]</f>
        <v>#DIV/0!</v>
      </c>
      <c r="U5" s="71" t="e">
        <f>Table143891011[[#This Row],[Total Cost Per Serving (O+P)/J]]*Table143891011[[#This Row],[Estimated Servings Annual]]</f>
        <v>#DIV/0!</v>
      </c>
      <c r="V5" s="70">
        <f>(Table143891011[[#This Row],[Commercial Bid Price per case for NOI ($)]]-Table143891011[[#This Row],[Pass-Thru Value per case ($)]])+Table143891011[[#This Row],[Region 2: Fixed Fee Per Case ($)]]</f>
        <v>0</v>
      </c>
      <c r="W5" s="71" t="e">
        <f>(Table143891011[[#This Row],[Commercial Bid Price per case for NOI ($)]]+Table143891011[[#This Row],[Region 2: Fixed Fee Per Case ($)]])/Table143891011[[#This Row],['# of CN Servings per case]]</f>
        <v>#DIV/0!</v>
      </c>
      <c r="X5" s="72" t="e">
        <f>Table143891011[[#This Row],[Total Cost Per Serving (O+Q)/J]]*Table143891011[[#This Row],[Estimated Servings Annual]]</f>
        <v>#DIV/0!</v>
      </c>
    </row>
    <row r="6" spans="1:24" x14ac:dyDescent="0.35">
      <c r="A6" s="30" t="s">
        <v>171</v>
      </c>
      <c r="B6" s="28" t="s">
        <v>172</v>
      </c>
      <c r="C6" s="7" t="s">
        <v>181</v>
      </c>
      <c r="D6" s="7"/>
      <c r="E6" s="7"/>
      <c r="F6" s="7"/>
      <c r="G6" s="7"/>
      <c r="H6" s="7"/>
      <c r="I6" s="7"/>
      <c r="J6" s="7"/>
      <c r="K6" s="49">
        <v>150000</v>
      </c>
      <c r="L6" s="7"/>
      <c r="M6" s="7"/>
      <c r="N6" s="7"/>
      <c r="O6" s="7"/>
      <c r="P6" s="7"/>
      <c r="Q6" s="7"/>
      <c r="R6" s="7"/>
      <c r="S6" s="70">
        <f>(Table143891011[[#This Row],[Commercial Bid Price per case for NOI ($)]]-Table143891011[[#This Row],[Pass-Thru Value per case ($)]])+Table143891011[[#This Row],[Region 1: Fixed Fee Per Case ($)]]</f>
        <v>0</v>
      </c>
      <c r="T6" s="71" t="e">
        <f>(Table143891011[[#This Row],[Commercial Bid Price per case for NOI ($)]]+Table143891011[[#This Row],[Region 1: Fixed Fee Per Case ($)]])/Table143891011[[#This Row],['# of CN Servings per case]]</f>
        <v>#DIV/0!</v>
      </c>
      <c r="U6" s="71" t="e">
        <f>Table143891011[[#This Row],[Total Cost Per Serving (O+P)/J]]*Table143891011[[#This Row],[Estimated Servings Annual]]</f>
        <v>#DIV/0!</v>
      </c>
      <c r="V6" s="70">
        <f>(Table143891011[[#This Row],[Commercial Bid Price per case for NOI ($)]]-Table143891011[[#This Row],[Pass-Thru Value per case ($)]])+Table143891011[[#This Row],[Region 2: Fixed Fee Per Case ($)]]</f>
        <v>0</v>
      </c>
      <c r="W6" s="71" t="e">
        <f>(Table143891011[[#This Row],[Commercial Bid Price per case for NOI ($)]]+Table143891011[[#This Row],[Region 2: Fixed Fee Per Case ($)]])/Table143891011[[#This Row],['# of CN Servings per case]]</f>
        <v>#DIV/0!</v>
      </c>
      <c r="X6" s="72" t="e">
        <f>Table143891011[[#This Row],[Total Cost Per Serving (O+Q)/J]]*Table143891011[[#This Row],[Estimated Servings Annual]]</f>
        <v>#DIV/0!</v>
      </c>
    </row>
    <row r="7" spans="1:24" x14ac:dyDescent="0.35">
      <c r="A7" s="30" t="s">
        <v>171</v>
      </c>
      <c r="B7" s="28" t="s">
        <v>172</v>
      </c>
      <c r="C7" s="7" t="s">
        <v>13</v>
      </c>
      <c r="D7" s="7"/>
      <c r="E7" s="7"/>
      <c r="F7" s="7"/>
      <c r="G7" s="7"/>
      <c r="H7" s="7"/>
      <c r="I7" s="7"/>
      <c r="J7" s="7"/>
      <c r="K7" s="49">
        <v>150000</v>
      </c>
      <c r="L7" s="7"/>
      <c r="M7" s="7"/>
      <c r="N7" s="7"/>
      <c r="O7" s="7"/>
      <c r="P7" s="7"/>
      <c r="Q7" s="7"/>
      <c r="R7" s="7"/>
      <c r="S7" s="70">
        <f>(Table143891011[[#This Row],[Commercial Bid Price per case for NOI ($)]]-Table143891011[[#This Row],[Pass-Thru Value per case ($)]])+Table143891011[[#This Row],[Region 1: Fixed Fee Per Case ($)]]</f>
        <v>0</v>
      </c>
      <c r="T7" s="71" t="e">
        <f>(Table143891011[[#This Row],[Commercial Bid Price per case for NOI ($)]]+Table143891011[[#This Row],[Region 1: Fixed Fee Per Case ($)]])/Table143891011[[#This Row],['# of CN Servings per case]]</f>
        <v>#DIV/0!</v>
      </c>
      <c r="U7" s="71" t="e">
        <f>Table143891011[[#This Row],[Total Cost Per Serving (O+P)/J]]*Table143891011[[#This Row],[Estimated Servings Annual]]</f>
        <v>#DIV/0!</v>
      </c>
      <c r="V7" s="70">
        <f>(Table143891011[[#This Row],[Commercial Bid Price per case for NOI ($)]]-Table143891011[[#This Row],[Pass-Thru Value per case ($)]])+Table143891011[[#This Row],[Region 2: Fixed Fee Per Case ($)]]</f>
        <v>0</v>
      </c>
      <c r="W7" s="71" t="e">
        <f>(Table143891011[[#This Row],[Commercial Bid Price per case for NOI ($)]]+Table143891011[[#This Row],[Region 2: Fixed Fee Per Case ($)]])/Table143891011[[#This Row],['# of CN Servings per case]]</f>
        <v>#DIV/0!</v>
      </c>
      <c r="X7" s="72" t="e">
        <f>Table143891011[[#This Row],[Total Cost Per Serving (O+Q)/J]]*Table143891011[[#This Row],[Estimated Servings Annual]]</f>
        <v>#DIV/0!</v>
      </c>
    </row>
    <row r="8" spans="1:24" x14ac:dyDescent="0.35">
      <c r="A8" s="30" t="s">
        <v>171</v>
      </c>
      <c r="B8" s="28" t="s">
        <v>172</v>
      </c>
      <c r="C8" s="7" t="s">
        <v>13</v>
      </c>
      <c r="D8" s="7"/>
      <c r="E8" s="7"/>
      <c r="F8" s="7"/>
      <c r="G8" s="7"/>
      <c r="H8" s="7"/>
      <c r="I8" s="7"/>
      <c r="J8" s="7"/>
      <c r="K8" s="49">
        <v>150000</v>
      </c>
      <c r="L8" s="7"/>
      <c r="M8" s="7"/>
      <c r="N8" s="7"/>
      <c r="O8" s="7"/>
      <c r="P8" s="7"/>
      <c r="Q8" s="7"/>
      <c r="R8" s="7"/>
      <c r="S8" s="70">
        <f>(Table143891011[[#This Row],[Commercial Bid Price per case for NOI ($)]]-Table143891011[[#This Row],[Pass-Thru Value per case ($)]])+Table143891011[[#This Row],[Region 1: Fixed Fee Per Case ($)]]</f>
        <v>0</v>
      </c>
      <c r="T8" s="71" t="e">
        <f>(Table143891011[[#This Row],[Commercial Bid Price per case for NOI ($)]]+Table143891011[[#This Row],[Region 1: Fixed Fee Per Case ($)]])/Table143891011[[#This Row],['# of CN Servings per case]]</f>
        <v>#DIV/0!</v>
      </c>
      <c r="U8" s="71" t="e">
        <f>Table143891011[[#This Row],[Total Cost Per Serving (O+P)/J]]*Table143891011[[#This Row],[Estimated Servings Annual]]</f>
        <v>#DIV/0!</v>
      </c>
      <c r="V8" s="70">
        <f>(Table143891011[[#This Row],[Commercial Bid Price per case for NOI ($)]]-Table143891011[[#This Row],[Pass-Thru Value per case ($)]])+Table143891011[[#This Row],[Region 2: Fixed Fee Per Case ($)]]</f>
        <v>0</v>
      </c>
      <c r="W8" s="71" t="e">
        <f>(Table143891011[[#This Row],[Commercial Bid Price per case for NOI ($)]]+Table143891011[[#This Row],[Region 2: Fixed Fee Per Case ($)]])/Table143891011[[#This Row],['# of CN Servings per case]]</f>
        <v>#DIV/0!</v>
      </c>
      <c r="X8" s="72" t="e">
        <f>Table143891011[[#This Row],[Total Cost Per Serving (O+Q)/J]]*Table143891011[[#This Row],[Estimated Servings Annual]]</f>
        <v>#DIV/0!</v>
      </c>
    </row>
    <row r="9" spans="1:24" x14ac:dyDescent="0.35">
      <c r="A9" s="30" t="s">
        <v>171</v>
      </c>
      <c r="B9" s="28" t="s">
        <v>172</v>
      </c>
      <c r="C9" s="7" t="s">
        <v>13</v>
      </c>
      <c r="D9" s="7"/>
      <c r="E9" s="7"/>
      <c r="F9" s="7"/>
      <c r="G9" s="7"/>
      <c r="H9" s="7"/>
      <c r="I9" s="7"/>
      <c r="J9" s="7"/>
      <c r="K9" s="49">
        <v>150000</v>
      </c>
      <c r="L9" s="7"/>
      <c r="M9" s="7"/>
      <c r="N9" s="7"/>
      <c r="O9" s="7"/>
      <c r="P9" s="7"/>
      <c r="Q9" s="7"/>
      <c r="R9" s="7"/>
      <c r="S9" s="70">
        <f>(Table143891011[[#This Row],[Commercial Bid Price per case for NOI ($)]]-Table143891011[[#This Row],[Pass-Thru Value per case ($)]])+Table143891011[[#This Row],[Region 1: Fixed Fee Per Case ($)]]</f>
        <v>0</v>
      </c>
      <c r="T9" s="71" t="e">
        <f>(Table143891011[[#This Row],[Commercial Bid Price per case for NOI ($)]]+Table143891011[[#This Row],[Region 1: Fixed Fee Per Case ($)]])/Table143891011[[#This Row],['# of CN Servings per case]]</f>
        <v>#DIV/0!</v>
      </c>
      <c r="U9" s="71" t="e">
        <f>Table143891011[[#This Row],[Total Cost Per Serving (O+P)/J]]*Table143891011[[#This Row],[Estimated Servings Annual]]</f>
        <v>#DIV/0!</v>
      </c>
      <c r="V9" s="70">
        <f>(Table143891011[[#This Row],[Commercial Bid Price per case for NOI ($)]]-Table143891011[[#This Row],[Pass-Thru Value per case ($)]])+Table143891011[[#This Row],[Region 2: Fixed Fee Per Case ($)]]</f>
        <v>0</v>
      </c>
      <c r="W9" s="71" t="e">
        <f>(Table143891011[[#This Row],[Commercial Bid Price per case for NOI ($)]]+Table143891011[[#This Row],[Region 2: Fixed Fee Per Case ($)]])/Table143891011[[#This Row],['# of CN Servings per case]]</f>
        <v>#DIV/0!</v>
      </c>
      <c r="X9" s="72" t="e">
        <f>Table143891011[[#This Row],[Total Cost Per Serving (O+Q)/J]]*Table143891011[[#This Row],[Estimated Servings Annual]]</f>
        <v>#DIV/0!</v>
      </c>
    </row>
    <row r="10" spans="1:24" ht="15" thickBot="1" x14ac:dyDescent="0.4">
      <c r="A10" s="30" t="s">
        <v>171</v>
      </c>
      <c r="B10" s="28" t="s">
        <v>172</v>
      </c>
      <c r="C10" s="8" t="s">
        <v>13</v>
      </c>
      <c r="D10" s="8"/>
      <c r="E10" s="8"/>
      <c r="F10" s="8"/>
      <c r="G10" s="8"/>
      <c r="H10" s="8"/>
      <c r="I10" s="8"/>
      <c r="J10" s="8"/>
      <c r="K10" s="50">
        <v>150000</v>
      </c>
      <c r="L10" s="8"/>
      <c r="M10" s="8"/>
      <c r="N10" s="8"/>
      <c r="O10" s="8"/>
      <c r="P10" s="8"/>
      <c r="Q10" s="8"/>
      <c r="R10" s="8"/>
      <c r="S10" s="73">
        <f>(Table143891011[[#This Row],[Commercial Bid Price per case for NOI ($)]]-Table143891011[[#This Row],[Pass-Thru Value per case ($)]])+Table143891011[[#This Row],[Region 1: Fixed Fee Per Case ($)]]</f>
        <v>0</v>
      </c>
      <c r="T10" s="74" t="e">
        <f>(Table143891011[[#This Row],[Commercial Bid Price per case for NOI ($)]]+Table143891011[[#This Row],[Region 1: Fixed Fee Per Case ($)]])/Table143891011[[#This Row],['# of CN Servings per case]]</f>
        <v>#DIV/0!</v>
      </c>
      <c r="U10" s="74" t="e">
        <f>Table143891011[[#This Row],[Total Cost Per Serving (O+P)/J]]*Table143891011[[#This Row],[Estimated Servings Annual]]</f>
        <v>#DIV/0!</v>
      </c>
      <c r="V10" s="73">
        <f>(Table143891011[[#This Row],[Commercial Bid Price per case for NOI ($)]]-Table143891011[[#This Row],[Pass-Thru Value per case ($)]])+Table143891011[[#This Row],[Region 2: Fixed Fee Per Case ($)]]</f>
        <v>0</v>
      </c>
      <c r="W10" s="74" t="e">
        <f>(Table143891011[[#This Row],[Commercial Bid Price per case for NOI ($)]]+Table143891011[[#This Row],[Region 2: Fixed Fee Per Case ($)]])/Table143891011[[#This Row],['# of CN Servings per case]]</f>
        <v>#DIV/0!</v>
      </c>
      <c r="X10" s="75" t="e">
        <f>Table143891011[[#This Row],[Total Cost Per Serving (O+Q)/J]]*Table143891011[[#This Row],[Estimated Servings Annual]]</f>
        <v>#DIV/0!</v>
      </c>
    </row>
    <row r="11" spans="1:24" x14ac:dyDescent="0.35">
      <c r="A11" s="30" t="s">
        <v>171</v>
      </c>
      <c r="B11" s="42" t="s">
        <v>173</v>
      </c>
      <c r="C11" s="6" t="s">
        <v>180</v>
      </c>
      <c r="D11" s="6"/>
      <c r="E11" s="6"/>
      <c r="F11" s="6"/>
      <c r="G11" s="6"/>
      <c r="H11" s="6"/>
      <c r="I11" s="6"/>
      <c r="J11" s="6"/>
      <c r="K11" s="48">
        <v>100000</v>
      </c>
      <c r="L11" s="6"/>
      <c r="M11" s="6"/>
      <c r="N11" s="6"/>
      <c r="O11" s="6"/>
      <c r="P11" s="6"/>
      <c r="Q11" s="6"/>
      <c r="R11" s="6"/>
      <c r="S11" s="67">
        <f>(Table143891011[[#This Row],[Commercial Bid Price per case for NOI ($)]]-Table143891011[[#This Row],[Pass-Thru Value per case ($)]])+Table143891011[[#This Row],[Region 1: Fixed Fee Per Case ($)]]</f>
        <v>0</v>
      </c>
      <c r="T11" s="68" t="e">
        <f>(Table143891011[[#This Row],[Commercial Bid Price per case for NOI ($)]]+Table143891011[[#This Row],[Region 1: Fixed Fee Per Case ($)]])/Table143891011[[#This Row],['# of CN Servings per case]]</f>
        <v>#DIV/0!</v>
      </c>
      <c r="U11" s="68" t="e">
        <f>Table143891011[[#This Row],[Total Cost Per Serving (O+P)/J]]*Table143891011[[#This Row],[Estimated Servings Annual]]</f>
        <v>#DIV/0!</v>
      </c>
      <c r="V11" s="67">
        <f>(Table143891011[[#This Row],[Commercial Bid Price per case for NOI ($)]]-Table143891011[[#This Row],[Pass-Thru Value per case ($)]])+Table143891011[[#This Row],[Region 2: Fixed Fee Per Case ($)]]</f>
        <v>0</v>
      </c>
      <c r="W11" s="68" t="e">
        <f>(Table143891011[[#This Row],[Commercial Bid Price per case for NOI ($)]]+Table143891011[[#This Row],[Region 2: Fixed Fee Per Case ($)]])/Table143891011[[#This Row],['# of CN Servings per case]]</f>
        <v>#DIV/0!</v>
      </c>
      <c r="X11" s="69" t="e">
        <f>Table143891011[[#This Row],[Total Cost Per Serving (O+Q)/J]]*Table143891011[[#This Row],[Estimated Servings Annual]]</f>
        <v>#DIV/0!</v>
      </c>
    </row>
    <row r="12" spans="1:24" x14ac:dyDescent="0.35">
      <c r="A12" s="30" t="s">
        <v>171</v>
      </c>
      <c r="B12" s="28" t="s">
        <v>173</v>
      </c>
      <c r="C12" s="7" t="s">
        <v>180</v>
      </c>
      <c r="D12" s="7"/>
      <c r="E12" s="7"/>
      <c r="F12" s="7"/>
      <c r="G12" s="7"/>
      <c r="H12" s="7"/>
      <c r="I12" s="7"/>
      <c r="J12" s="7"/>
      <c r="K12" s="49">
        <v>100000</v>
      </c>
      <c r="L12" s="7"/>
      <c r="M12" s="7"/>
      <c r="N12" s="7"/>
      <c r="O12" s="7"/>
      <c r="P12" s="7"/>
      <c r="Q12" s="7"/>
      <c r="R12" s="7"/>
      <c r="S12" s="70">
        <f>(Table143891011[[#This Row],[Commercial Bid Price per case for NOI ($)]]-Table143891011[[#This Row],[Pass-Thru Value per case ($)]])+Table143891011[[#This Row],[Region 1: Fixed Fee Per Case ($)]]</f>
        <v>0</v>
      </c>
      <c r="T12" s="71" t="e">
        <f>(Table143891011[[#This Row],[Commercial Bid Price per case for NOI ($)]]+Table143891011[[#This Row],[Region 1: Fixed Fee Per Case ($)]])/Table143891011[[#This Row],['# of CN Servings per case]]</f>
        <v>#DIV/0!</v>
      </c>
      <c r="U12" s="71" t="e">
        <f>Table143891011[[#This Row],[Total Cost Per Serving (O+P)/J]]*Table143891011[[#This Row],[Estimated Servings Annual]]</f>
        <v>#DIV/0!</v>
      </c>
      <c r="V12" s="70">
        <f>(Table143891011[[#This Row],[Commercial Bid Price per case for NOI ($)]]-Table143891011[[#This Row],[Pass-Thru Value per case ($)]])+Table143891011[[#This Row],[Region 2: Fixed Fee Per Case ($)]]</f>
        <v>0</v>
      </c>
      <c r="W12" s="71" t="e">
        <f>(Table143891011[[#This Row],[Commercial Bid Price per case for NOI ($)]]+Table143891011[[#This Row],[Region 2: Fixed Fee Per Case ($)]])/Table143891011[[#This Row],['# of CN Servings per case]]</f>
        <v>#DIV/0!</v>
      </c>
      <c r="X12" s="72" t="e">
        <f>Table143891011[[#This Row],[Total Cost Per Serving (O+Q)/J]]*Table143891011[[#This Row],[Estimated Servings Annual]]</f>
        <v>#DIV/0!</v>
      </c>
    </row>
    <row r="13" spans="1:24" x14ac:dyDescent="0.35">
      <c r="A13" s="30" t="s">
        <v>171</v>
      </c>
      <c r="B13" s="28" t="s">
        <v>173</v>
      </c>
      <c r="C13" s="7" t="s">
        <v>181</v>
      </c>
      <c r="D13" s="7"/>
      <c r="E13" s="7"/>
      <c r="F13" s="7"/>
      <c r="G13" s="7"/>
      <c r="H13" s="7"/>
      <c r="I13" s="7"/>
      <c r="J13" s="7"/>
      <c r="K13" s="49">
        <v>100000</v>
      </c>
      <c r="L13" s="7"/>
      <c r="M13" s="7"/>
      <c r="N13" s="7"/>
      <c r="O13" s="7"/>
      <c r="P13" s="7"/>
      <c r="Q13" s="7"/>
      <c r="R13" s="7"/>
      <c r="S13" s="70">
        <f>(Table143891011[[#This Row],[Commercial Bid Price per case for NOI ($)]]-Table143891011[[#This Row],[Pass-Thru Value per case ($)]])+Table143891011[[#This Row],[Region 1: Fixed Fee Per Case ($)]]</f>
        <v>0</v>
      </c>
      <c r="T13" s="71" t="e">
        <f>(Table143891011[[#This Row],[Commercial Bid Price per case for NOI ($)]]+Table143891011[[#This Row],[Region 1: Fixed Fee Per Case ($)]])/Table143891011[[#This Row],['# of CN Servings per case]]</f>
        <v>#DIV/0!</v>
      </c>
      <c r="U13" s="71" t="e">
        <f>Table143891011[[#This Row],[Total Cost Per Serving (O+P)/J]]*Table143891011[[#This Row],[Estimated Servings Annual]]</f>
        <v>#DIV/0!</v>
      </c>
      <c r="V13" s="70">
        <f>(Table143891011[[#This Row],[Commercial Bid Price per case for NOI ($)]]-Table143891011[[#This Row],[Pass-Thru Value per case ($)]])+Table143891011[[#This Row],[Region 2: Fixed Fee Per Case ($)]]</f>
        <v>0</v>
      </c>
      <c r="W13" s="71" t="e">
        <f>(Table143891011[[#This Row],[Commercial Bid Price per case for NOI ($)]]+Table143891011[[#This Row],[Region 2: Fixed Fee Per Case ($)]])/Table143891011[[#This Row],['# of CN Servings per case]]</f>
        <v>#DIV/0!</v>
      </c>
      <c r="X13" s="72" t="e">
        <f>Table143891011[[#This Row],[Total Cost Per Serving (O+Q)/J]]*Table143891011[[#This Row],[Estimated Servings Annual]]</f>
        <v>#DIV/0!</v>
      </c>
    </row>
    <row r="14" spans="1:24" x14ac:dyDescent="0.35">
      <c r="A14" s="30" t="s">
        <v>171</v>
      </c>
      <c r="B14" s="28" t="s">
        <v>173</v>
      </c>
      <c r="C14" s="7" t="s">
        <v>181</v>
      </c>
      <c r="D14" s="7"/>
      <c r="E14" s="7"/>
      <c r="F14" s="7"/>
      <c r="G14" s="7"/>
      <c r="H14" s="7"/>
      <c r="I14" s="7"/>
      <c r="J14" s="7"/>
      <c r="K14" s="49">
        <v>100000</v>
      </c>
      <c r="L14" s="7"/>
      <c r="M14" s="7"/>
      <c r="N14" s="7"/>
      <c r="O14" s="7"/>
      <c r="P14" s="7"/>
      <c r="Q14" s="7"/>
      <c r="R14" s="7"/>
      <c r="S14" s="70">
        <f>(Table143891011[[#This Row],[Commercial Bid Price per case for NOI ($)]]-Table143891011[[#This Row],[Pass-Thru Value per case ($)]])+Table143891011[[#This Row],[Region 1: Fixed Fee Per Case ($)]]</f>
        <v>0</v>
      </c>
      <c r="T14" s="71" t="e">
        <f>(Table143891011[[#This Row],[Commercial Bid Price per case for NOI ($)]]+Table143891011[[#This Row],[Region 1: Fixed Fee Per Case ($)]])/Table143891011[[#This Row],['# of CN Servings per case]]</f>
        <v>#DIV/0!</v>
      </c>
      <c r="U14" s="71" t="e">
        <f>Table143891011[[#This Row],[Total Cost Per Serving (O+P)/J]]*Table143891011[[#This Row],[Estimated Servings Annual]]</f>
        <v>#DIV/0!</v>
      </c>
      <c r="V14" s="70">
        <f>(Table143891011[[#This Row],[Commercial Bid Price per case for NOI ($)]]-Table143891011[[#This Row],[Pass-Thru Value per case ($)]])+Table143891011[[#This Row],[Region 2: Fixed Fee Per Case ($)]]</f>
        <v>0</v>
      </c>
      <c r="W14" s="71" t="e">
        <f>(Table143891011[[#This Row],[Commercial Bid Price per case for NOI ($)]]+Table143891011[[#This Row],[Region 2: Fixed Fee Per Case ($)]])/Table143891011[[#This Row],['# of CN Servings per case]]</f>
        <v>#DIV/0!</v>
      </c>
      <c r="X14" s="72" t="e">
        <f>Table143891011[[#This Row],[Total Cost Per Serving (O+Q)/J]]*Table143891011[[#This Row],[Estimated Servings Annual]]</f>
        <v>#DIV/0!</v>
      </c>
    </row>
    <row r="15" spans="1:24" x14ac:dyDescent="0.35">
      <c r="A15" s="30" t="s">
        <v>171</v>
      </c>
      <c r="B15" s="28" t="s">
        <v>173</v>
      </c>
      <c r="C15" s="7" t="s">
        <v>13</v>
      </c>
      <c r="D15" s="7"/>
      <c r="E15" s="7"/>
      <c r="F15" s="7"/>
      <c r="G15" s="7"/>
      <c r="H15" s="7"/>
      <c r="I15" s="7"/>
      <c r="J15" s="7"/>
      <c r="K15" s="49">
        <v>100000</v>
      </c>
      <c r="L15" s="7"/>
      <c r="M15" s="7"/>
      <c r="N15" s="7"/>
      <c r="O15" s="7"/>
      <c r="P15" s="7"/>
      <c r="Q15" s="7"/>
      <c r="R15" s="7"/>
      <c r="S15" s="70">
        <f>(Table143891011[[#This Row],[Commercial Bid Price per case for NOI ($)]]-Table143891011[[#This Row],[Pass-Thru Value per case ($)]])+Table143891011[[#This Row],[Region 1: Fixed Fee Per Case ($)]]</f>
        <v>0</v>
      </c>
      <c r="T15" s="71" t="e">
        <f>(Table143891011[[#This Row],[Commercial Bid Price per case for NOI ($)]]+Table143891011[[#This Row],[Region 1: Fixed Fee Per Case ($)]])/Table143891011[[#This Row],['# of CN Servings per case]]</f>
        <v>#DIV/0!</v>
      </c>
      <c r="U15" s="71" t="e">
        <f>Table143891011[[#This Row],[Total Cost Per Serving (O+P)/J]]*Table143891011[[#This Row],[Estimated Servings Annual]]</f>
        <v>#DIV/0!</v>
      </c>
      <c r="V15" s="70">
        <f>(Table143891011[[#This Row],[Commercial Bid Price per case for NOI ($)]]-Table143891011[[#This Row],[Pass-Thru Value per case ($)]])+Table143891011[[#This Row],[Region 2: Fixed Fee Per Case ($)]]</f>
        <v>0</v>
      </c>
      <c r="W15" s="71" t="e">
        <f>(Table143891011[[#This Row],[Commercial Bid Price per case for NOI ($)]]+Table143891011[[#This Row],[Region 2: Fixed Fee Per Case ($)]])/Table143891011[[#This Row],['# of CN Servings per case]]</f>
        <v>#DIV/0!</v>
      </c>
      <c r="X15" s="72" t="e">
        <f>Table143891011[[#This Row],[Total Cost Per Serving (O+Q)/J]]*Table143891011[[#This Row],[Estimated Servings Annual]]</f>
        <v>#DIV/0!</v>
      </c>
    </row>
    <row r="16" spans="1:24" x14ac:dyDescent="0.35">
      <c r="A16" s="30" t="s">
        <v>171</v>
      </c>
      <c r="B16" s="28" t="s">
        <v>173</v>
      </c>
      <c r="C16" s="7" t="s">
        <v>13</v>
      </c>
      <c r="D16" s="7"/>
      <c r="E16" s="7"/>
      <c r="F16" s="7"/>
      <c r="G16" s="7"/>
      <c r="H16" s="7"/>
      <c r="I16" s="7"/>
      <c r="J16" s="7"/>
      <c r="K16" s="49">
        <v>100000</v>
      </c>
      <c r="L16" s="7"/>
      <c r="M16" s="7"/>
      <c r="N16" s="7"/>
      <c r="O16" s="7"/>
      <c r="P16" s="7"/>
      <c r="Q16" s="7"/>
      <c r="R16" s="7"/>
      <c r="S16" s="70">
        <f>(Table143891011[[#This Row],[Commercial Bid Price per case for NOI ($)]]-Table143891011[[#This Row],[Pass-Thru Value per case ($)]])+Table143891011[[#This Row],[Region 1: Fixed Fee Per Case ($)]]</f>
        <v>0</v>
      </c>
      <c r="T16" s="71" t="e">
        <f>(Table143891011[[#This Row],[Commercial Bid Price per case for NOI ($)]]+Table143891011[[#This Row],[Region 1: Fixed Fee Per Case ($)]])/Table143891011[[#This Row],['# of CN Servings per case]]</f>
        <v>#DIV/0!</v>
      </c>
      <c r="U16" s="71" t="e">
        <f>Table143891011[[#This Row],[Total Cost Per Serving (O+P)/J]]*Table143891011[[#This Row],[Estimated Servings Annual]]</f>
        <v>#DIV/0!</v>
      </c>
      <c r="V16" s="70">
        <f>(Table143891011[[#This Row],[Commercial Bid Price per case for NOI ($)]]-Table143891011[[#This Row],[Pass-Thru Value per case ($)]])+Table143891011[[#This Row],[Region 2: Fixed Fee Per Case ($)]]</f>
        <v>0</v>
      </c>
      <c r="W16" s="71" t="e">
        <f>(Table143891011[[#This Row],[Commercial Bid Price per case for NOI ($)]]+Table143891011[[#This Row],[Region 2: Fixed Fee Per Case ($)]])/Table143891011[[#This Row],['# of CN Servings per case]]</f>
        <v>#DIV/0!</v>
      </c>
      <c r="X16" s="72" t="e">
        <f>Table143891011[[#This Row],[Total Cost Per Serving (O+Q)/J]]*Table143891011[[#This Row],[Estimated Servings Annual]]</f>
        <v>#DIV/0!</v>
      </c>
    </row>
    <row r="17" spans="1:24" x14ac:dyDescent="0.35">
      <c r="A17" s="30" t="s">
        <v>171</v>
      </c>
      <c r="B17" s="28" t="s">
        <v>173</v>
      </c>
      <c r="C17" s="7" t="s">
        <v>13</v>
      </c>
      <c r="D17" s="7"/>
      <c r="E17" s="7"/>
      <c r="F17" s="7"/>
      <c r="G17" s="7"/>
      <c r="H17" s="7"/>
      <c r="I17" s="7"/>
      <c r="J17" s="7"/>
      <c r="K17" s="49">
        <v>100000</v>
      </c>
      <c r="L17" s="7"/>
      <c r="M17" s="7"/>
      <c r="N17" s="7"/>
      <c r="O17" s="7"/>
      <c r="P17" s="7"/>
      <c r="Q17" s="7"/>
      <c r="R17" s="7"/>
      <c r="S17" s="70">
        <f>(Table143891011[[#This Row],[Commercial Bid Price per case for NOI ($)]]-Table143891011[[#This Row],[Pass-Thru Value per case ($)]])+Table143891011[[#This Row],[Region 1: Fixed Fee Per Case ($)]]</f>
        <v>0</v>
      </c>
      <c r="T17" s="71" t="e">
        <f>(Table143891011[[#This Row],[Commercial Bid Price per case for NOI ($)]]+Table143891011[[#This Row],[Region 1: Fixed Fee Per Case ($)]])/Table143891011[[#This Row],['# of CN Servings per case]]</f>
        <v>#DIV/0!</v>
      </c>
      <c r="U17" s="71" t="e">
        <f>Table143891011[[#This Row],[Total Cost Per Serving (O+P)/J]]*Table143891011[[#This Row],[Estimated Servings Annual]]</f>
        <v>#DIV/0!</v>
      </c>
      <c r="V17" s="70">
        <f>(Table143891011[[#This Row],[Commercial Bid Price per case for NOI ($)]]-Table143891011[[#This Row],[Pass-Thru Value per case ($)]])+Table143891011[[#This Row],[Region 2: Fixed Fee Per Case ($)]]</f>
        <v>0</v>
      </c>
      <c r="W17" s="71" t="e">
        <f>(Table143891011[[#This Row],[Commercial Bid Price per case for NOI ($)]]+Table143891011[[#This Row],[Region 2: Fixed Fee Per Case ($)]])/Table143891011[[#This Row],['# of CN Servings per case]]</f>
        <v>#DIV/0!</v>
      </c>
      <c r="X17" s="72" t="e">
        <f>Table143891011[[#This Row],[Total Cost Per Serving (O+Q)/J]]*Table143891011[[#This Row],[Estimated Servings Annual]]</f>
        <v>#DIV/0!</v>
      </c>
    </row>
    <row r="18" spans="1:24" ht="15" thickBot="1" x14ac:dyDescent="0.4">
      <c r="A18" s="30" t="s">
        <v>171</v>
      </c>
      <c r="B18" s="28" t="s">
        <v>173</v>
      </c>
      <c r="C18" s="8" t="s">
        <v>13</v>
      </c>
      <c r="D18" s="8"/>
      <c r="E18" s="8"/>
      <c r="F18" s="8"/>
      <c r="G18" s="8"/>
      <c r="H18" s="8"/>
      <c r="I18" s="8"/>
      <c r="J18" s="8"/>
      <c r="K18" s="50">
        <v>100000</v>
      </c>
      <c r="L18" s="8"/>
      <c r="M18" s="8"/>
      <c r="N18" s="8"/>
      <c r="O18" s="8"/>
      <c r="P18" s="8"/>
      <c r="Q18" s="8"/>
      <c r="R18" s="8"/>
      <c r="S18" s="73">
        <f>(Table143891011[[#This Row],[Commercial Bid Price per case for NOI ($)]]-Table143891011[[#This Row],[Pass-Thru Value per case ($)]])+Table143891011[[#This Row],[Region 1: Fixed Fee Per Case ($)]]</f>
        <v>0</v>
      </c>
      <c r="T18" s="74" t="e">
        <f>(Table143891011[[#This Row],[Commercial Bid Price per case for NOI ($)]]+Table143891011[[#This Row],[Region 1: Fixed Fee Per Case ($)]])/Table143891011[[#This Row],['# of CN Servings per case]]</f>
        <v>#DIV/0!</v>
      </c>
      <c r="U18" s="74" t="e">
        <f>Table143891011[[#This Row],[Total Cost Per Serving (O+P)/J]]*Table143891011[[#This Row],[Estimated Servings Annual]]</f>
        <v>#DIV/0!</v>
      </c>
      <c r="V18" s="73">
        <f>(Table143891011[[#This Row],[Commercial Bid Price per case for NOI ($)]]-Table143891011[[#This Row],[Pass-Thru Value per case ($)]])+Table143891011[[#This Row],[Region 2: Fixed Fee Per Case ($)]]</f>
        <v>0</v>
      </c>
      <c r="W18" s="74" t="e">
        <f>(Table143891011[[#This Row],[Commercial Bid Price per case for NOI ($)]]+Table143891011[[#This Row],[Region 2: Fixed Fee Per Case ($)]])/Table143891011[[#This Row],['# of CN Servings per case]]</f>
        <v>#DIV/0!</v>
      </c>
      <c r="X18" s="75" t="e">
        <f>Table143891011[[#This Row],[Total Cost Per Serving (O+Q)/J]]*Table143891011[[#This Row],[Estimated Servings Annual]]</f>
        <v>#DIV/0!</v>
      </c>
    </row>
    <row r="19" spans="1:24" x14ac:dyDescent="0.35">
      <c r="A19" s="30" t="s">
        <v>171</v>
      </c>
      <c r="B19" s="42" t="s">
        <v>174</v>
      </c>
      <c r="C19" s="6" t="s">
        <v>180</v>
      </c>
      <c r="D19" s="6"/>
      <c r="E19" s="6"/>
      <c r="F19" s="6"/>
      <c r="G19" s="6"/>
      <c r="H19" s="6"/>
      <c r="I19" s="6"/>
      <c r="J19" s="6"/>
      <c r="K19" s="48">
        <v>150000</v>
      </c>
      <c r="L19" s="6"/>
      <c r="M19" s="6"/>
      <c r="N19" s="6"/>
      <c r="O19" s="6"/>
      <c r="P19" s="6"/>
      <c r="Q19" s="6"/>
      <c r="R19" s="6"/>
      <c r="S19" s="67">
        <f>(Table143891011[[#This Row],[Commercial Bid Price per case for NOI ($)]]-Table143891011[[#This Row],[Pass-Thru Value per case ($)]])+Table143891011[[#This Row],[Region 1: Fixed Fee Per Case ($)]]</f>
        <v>0</v>
      </c>
      <c r="T19" s="68" t="e">
        <f>(Table143891011[[#This Row],[Commercial Bid Price per case for NOI ($)]]+Table143891011[[#This Row],[Region 1: Fixed Fee Per Case ($)]])/Table143891011[[#This Row],['# of CN Servings per case]]</f>
        <v>#DIV/0!</v>
      </c>
      <c r="U19" s="68" t="e">
        <f>Table143891011[[#This Row],[Total Cost Per Serving (O+P)/J]]*Table143891011[[#This Row],[Estimated Servings Annual]]</f>
        <v>#DIV/0!</v>
      </c>
      <c r="V19" s="67">
        <f>(Table143891011[[#This Row],[Commercial Bid Price per case for NOI ($)]]-Table143891011[[#This Row],[Pass-Thru Value per case ($)]])+Table143891011[[#This Row],[Region 2: Fixed Fee Per Case ($)]]</f>
        <v>0</v>
      </c>
      <c r="W19" s="68" t="e">
        <f>(Table143891011[[#This Row],[Commercial Bid Price per case for NOI ($)]]+Table143891011[[#This Row],[Region 2: Fixed Fee Per Case ($)]])/Table143891011[[#This Row],['# of CN Servings per case]]</f>
        <v>#DIV/0!</v>
      </c>
      <c r="X19" s="69" t="e">
        <f>Table143891011[[#This Row],[Total Cost Per Serving (O+Q)/J]]*Table143891011[[#This Row],[Estimated Servings Annual]]</f>
        <v>#DIV/0!</v>
      </c>
    </row>
    <row r="20" spans="1:24" x14ac:dyDescent="0.35">
      <c r="A20" s="30" t="s">
        <v>171</v>
      </c>
      <c r="B20" s="28" t="s">
        <v>174</v>
      </c>
      <c r="C20" s="7" t="s">
        <v>180</v>
      </c>
      <c r="D20" s="7"/>
      <c r="E20" s="7"/>
      <c r="F20" s="7"/>
      <c r="G20" s="7"/>
      <c r="H20" s="7"/>
      <c r="I20" s="7"/>
      <c r="J20" s="7"/>
      <c r="K20" s="49">
        <v>150000</v>
      </c>
      <c r="L20" s="7"/>
      <c r="M20" s="7"/>
      <c r="N20" s="7"/>
      <c r="O20" s="7"/>
      <c r="P20" s="7"/>
      <c r="Q20" s="7"/>
      <c r="R20" s="7"/>
      <c r="S20" s="70">
        <f>(Table143891011[[#This Row],[Commercial Bid Price per case for NOI ($)]]-Table143891011[[#This Row],[Pass-Thru Value per case ($)]])+Table143891011[[#This Row],[Region 1: Fixed Fee Per Case ($)]]</f>
        <v>0</v>
      </c>
      <c r="T20" s="71" t="e">
        <f>(Table143891011[[#This Row],[Commercial Bid Price per case for NOI ($)]]+Table143891011[[#This Row],[Region 1: Fixed Fee Per Case ($)]])/Table143891011[[#This Row],['# of CN Servings per case]]</f>
        <v>#DIV/0!</v>
      </c>
      <c r="U20" s="71" t="e">
        <f>Table143891011[[#This Row],[Total Cost Per Serving (O+P)/J]]*Table143891011[[#This Row],[Estimated Servings Annual]]</f>
        <v>#DIV/0!</v>
      </c>
      <c r="V20" s="70">
        <f>(Table143891011[[#This Row],[Commercial Bid Price per case for NOI ($)]]-Table143891011[[#This Row],[Pass-Thru Value per case ($)]])+Table143891011[[#This Row],[Region 2: Fixed Fee Per Case ($)]]</f>
        <v>0</v>
      </c>
      <c r="W20" s="71" t="e">
        <f>(Table143891011[[#This Row],[Commercial Bid Price per case for NOI ($)]]+Table143891011[[#This Row],[Region 2: Fixed Fee Per Case ($)]])/Table143891011[[#This Row],['# of CN Servings per case]]</f>
        <v>#DIV/0!</v>
      </c>
      <c r="X20" s="72" t="e">
        <f>Table143891011[[#This Row],[Total Cost Per Serving (O+Q)/J]]*Table143891011[[#This Row],[Estimated Servings Annual]]</f>
        <v>#DIV/0!</v>
      </c>
    </row>
    <row r="21" spans="1:24" x14ac:dyDescent="0.35">
      <c r="A21" s="30" t="s">
        <v>171</v>
      </c>
      <c r="B21" s="28" t="s">
        <v>174</v>
      </c>
      <c r="C21" s="7" t="s">
        <v>181</v>
      </c>
      <c r="D21" s="7"/>
      <c r="E21" s="7"/>
      <c r="F21" s="7"/>
      <c r="G21" s="7"/>
      <c r="H21" s="7"/>
      <c r="I21" s="7"/>
      <c r="J21" s="7"/>
      <c r="K21" s="49">
        <v>150000</v>
      </c>
      <c r="L21" s="7"/>
      <c r="M21" s="7"/>
      <c r="N21" s="7"/>
      <c r="O21" s="7"/>
      <c r="P21" s="7"/>
      <c r="Q21" s="7"/>
      <c r="R21" s="7"/>
      <c r="S21" s="70">
        <f>(Table143891011[[#This Row],[Commercial Bid Price per case for NOI ($)]]-Table143891011[[#This Row],[Pass-Thru Value per case ($)]])+Table143891011[[#This Row],[Region 1: Fixed Fee Per Case ($)]]</f>
        <v>0</v>
      </c>
      <c r="T21" s="71" t="e">
        <f>(Table143891011[[#This Row],[Commercial Bid Price per case for NOI ($)]]+Table143891011[[#This Row],[Region 1: Fixed Fee Per Case ($)]])/Table143891011[[#This Row],['# of CN Servings per case]]</f>
        <v>#DIV/0!</v>
      </c>
      <c r="U21" s="71" t="e">
        <f>Table143891011[[#This Row],[Total Cost Per Serving (O+P)/J]]*Table143891011[[#This Row],[Estimated Servings Annual]]</f>
        <v>#DIV/0!</v>
      </c>
      <c r="V21" s="70">
        <f>(Table143891011[[#This Row],[Commercial Bid Price per case for NOI ($)]]-Table143891011[[#This Row],[Pass-Thru Value per case ($)]])+Table143891011[[#This Row],[Region 2: Fixed Fee Per Case ($)]]</f>
        <v>0</v>
      </c>
      <c r="W21" s="71" t="e">
        <f>(Table143891011[[#This Row],[Commercial Bid Price per case for NOI ($)]]+Table143891011[[#This Row],[Region 2: Fixed Fee Per Case ($)]])/Table143891011[[#This Row],['# of CN Servings per case]]</f>
        <v>#DIV/0!</v>
      </c>
      <c r="X21" s="72" t="e">
        <f>Table143891011[[#This Row],[Total Cost Per Serving (O+Q)/J]]*Table143891011[[#This Row],[Estimated Servings Annual]]</f>
        <v>#DIV/0!</v>
      </c>
    </row>
    <row r="22" spans="1:24" x14ac:dyDescent="0.35">
      <c r="A22" s="30" t="s">
        <v>171</v>
      </c>
      <c r="B22" s="28" t="s">
        <v>174</v>
      </c>
      <c r="C22" s="7" t="s">
        <v>181</v>
      </c>
      <c r="D22" s="7"/>
      <c r="E22" s="7"/>
      <c r="F22" s="7"/>
      <c r="G22" s="7"/>
      <c r="H22" s="7"/>
      <c r="I22" s="7"/>
      <c r="J22" s="7"/>
      <c r="K22" s="49">
        <v>150000</v>
      </c>
      <c r="L22" s="7"/>
      <c r="M22" s="7"/>
      <c r="N22" s="7"/>
      <c r="O22" s="7"/>
      <c r="P22" s="7"/>
      <c r="Q22" s="7"/>
      <c r="R22" s="7"/>
      <c r="S22" s="70">
        <f>(Table143891011[[#This Row],[Commercial Bid Price per case for NOI ($)]]-Table143891011[[#This Row],[Pass-Thru Value per case ($)]])+Table143891011[[#This Row],[Region 1: Fixed Fee Per Case ($)]]</f>
        <v>0</v>
      </c>
      <c r="T22" s="71" t="e">
        <f>(Table143891011[[#This Row],[Commercial Bid Price per case for NOI ($)]]+Table143891011[[#This Row],[Region 1: Fixed Fee Per Case ($)]])/Table143891011[[#This Row],['# of CN Servings per case]]</f>
        <v>#DIV/0!</v>
      </c>
      <c r="U22" s="71" t="e">
        <f>Table143891011[[#This Row],[Total Cost Per Serving (O+P)/J]]*Table143891011[[#This Row],[Estimated Servings Annual]]</f>
        <v>#DIV/0!</v>
      </c>
      <c r="V22" s="70">
        <f>(Table143891011[[#This Row],[Commercial Bid Price per case for NOI ($)]]-Table143891011[[#This Row],[Pass-Thru Value per case ($)]])+Table143891011[[#This Row],[Region 2: Fixed Fee Per Case ($)]]</f>
        <v>0</v>
      </c>
      <c r="W22" s="71" t="e">
        <f>(Table143891011[[#This Row],[Commercial Bid Price per case for NOI ($)]]+Table143891011[[#This Row],[Region 2: Fixed Fee Per Case ($)]])/Table143891011[[#This Row],['# of CN Servings per case]]</f>
        <v>#DIV/0!</v>
      </c>
      <c r="X22" s="72" t="e">
        <f>Table143891011[[#This Row],[Total Cost Per Serving (O+Q)/J]]*Table143891011[[#This Row],[Estimated Servings Annual]]</f>
        <v>#DIV/0!</v>
      </c>
    </row>
    <row r="23" spans="1:24" x14ac:dyDescent="0.35">
      <c r="A23" s="30" t="s">
        <v>171</v>
      </c>
      <c r="B23" s="28" t="s">
        <v>174</v>
      </c>
      <c r="C23" s="7" t="s">
        <v>13</v>
      </c>
      <c r="D23" s="7"/>
      <c r="E23" s="7"/>
      <c r="F23" s="7"/>
      <c r="G23" s="7"/>
      <c r="H23" s="7"/>
      <c r="I23" s="7"/>
      <c r="J23" s="7"/>
      <c r="K23" s="49">
        <v>150000</v>
      </c>
      <c r="L23" s="7"/>
      <c r="M23" s="7"/>
      <c r="N23" s="7"/>
      <c r="O23" s="7"/>
      <c r="P23" s="7"/>
      <c r="Q23" s="7"/>
      <c r="R23" s="7"/>
      <c r="S23" s="70">
        <f>(Table143891011[[#This Row],[Commercial Bid Price per case for NOI ($)]]-Table143891011[[#This Row],[Pass-Thru Value per case ($)]])+Table143891011[[#This Row],[Region 1: Fixed Fee Per Case ($)]]</f>
        <v>0</v>
      </c>
      <c r="T23" s="71" t="e">
        <f>(Table143891011[[#This Row],[Commercial Bid Price per case for NOI ($)]]+Table143891011[[#This Row],[Region 1: Fixed Fee Per Case ($)]])/Table143891011[[#This Row],['# of CN Servings per case]]</f>
        <v>#DIV/0!</v>
      </c>
      <c r="U23" s="71" t="e">
        <f>Table143891011[[#This Row],[Total Cost Per Serving (O+P)/J]]*Table143891011[[#This Row],[Estimated Servings Annual]]</f>
        <v>#DIV/0!</v>
      </c>
      <c r="V23" s="70">
        <f>(Table143891011[[#This Row],[Commercial Bid Price per case for NOI ($)]]-Table143891011[[#This Row],[Pass-Thru Value per case ($)]])+Table143891011[[#This Row],[Region 2: Fixed Fee Per Case ($)]]</f>
        <v>0</v>
      </c>
      <c r="W23" s="71" t="e">
        <f>(Table143891011[[#This Row],[Commercial Bid Price per case for NOI ($)]]+Table143891011[[#This Row],[Region 2: Fixed Fee Per Case ($)]])/Table143891011[[#This Row],['# of CN Servings per case]]</f>
        <v>#DIV/0!</v>
      </c>
      <c r="X23" s="72" t="e">
        <f>Table143891011[[#This Row],[Total Cost Per Serving (O+Q)/J]]*Table143891011[[#This Row],[Estimated Servings Annual]]</f>
        <v>#DIV/0!</v>
      </c>
    </row>
    <row r="24" spans="1:24" x14ac:dyDescent="0.35">
      <c r="A24" s="30" t="s">
        <v>171</v>
      </c>
      <c r="B24" s="28" t="s">
        <v>174</v>
      </c>
      <c r="C24" s="7" t="s">
        <v>13</v>
      </c>
      <c r="D24" s="7"/>
      <c r="E24" s="7"/>
      <c r="F24" s="7"/>
      <c r="G24" s="7"/>
      <c r="H24" s="7"/>
      <c r="I24" s="7"/>
      <c r="J24" s="7"/>
      <c r="K24" s="49">
        <v>150000</v>
      </c>
      <c r="L24" s="7"/>
      <c r="M24" s="7"/>
      <c r="N24" s="7"/>
      <c r="O24" s="7"/>
      <c r="P24" s="7"/>
      <c r="Q24" s="7"/>
      <c r="R24" s="7"/>
      <c r="S24" s="70">
        <f>(Table143891011[[#This Row],[Commercial Bid Price per case for NOI ($)]]-Table143891011[[#This Row],[Pass-Thru Value per case ($)]])+Table143891011[[#This Row],[Region 1: Fixed Fee Per Case ($)]]</f>
        <v>0</v>
      </c>
      <c r="T24" s="71" t="e">
        <f>(Table143891011[[#This Row],[Commercial Bid Price per case for NOI ($)]]+Table143891011[[#This Row],[Region 1: Fixed Fee Per Case ($)]])/Table143891011[[#This Row],['# of CN Servings per case]]</f>
        <v>#DIV/0!</v>
      </c>
      <c r="U24" s="71" t="e">
        <f>Table143891011[[#This Row],[Total Cost Per Serving (O+P)/J]]*Table143891011[[#This Row],[Estimated Servings Annual]]</f>
        <v>#DIV/0!</v>
      </c>
      <c r="V24" s="70">
        <f>(Table143891011[[#This Row],[Commercial Bid Price per case for NOI ($)]]-Table143891011[[#This Row],[Pass-Thru Value per case ($)]])+Table143891011[[#This Row],[Region 2: Fixed Fee Per Case ($)]]</f>
        <v>0</v>
      </c>
      <c r="W24" s="71" t="e">
        <f>(Table143891011[[#This Row],[Commercial Bid Price per case for NOI ($)]]+Table143891011[[#This Row],[Region 2: Fixed Fee Per Case ($)]])/Table143891011[[#This Row],['# of CN Servings per case]]</f>
        <v>#DIV/0!</v>
      </c>
      <c r="X24" s="72" t="e">
        <f>Table143891011[[#This Row],[Total Cost Per Serving (O+Q)/J]]*Table143891011[[#This Row],[Estimated Servings Annual]]</f>
        <v>#DIV/0!</v>
      </c>
    </row>
    <row r="25" spans="1:24" x14ac:dyDescent="0.35">
      <c r="A25" s="30" t="s">
        <v>171</v>
      </c>
      <c r="B25" s="28" t="s">
        <v>174</v>
      </c>
      <c r="C25" s="7" t="s">
        <v>13</v>
      </c>
      <c r="D25" s="7"/>
      <c r="E25" s="7"/>
      <c r="F25" s="7"/>
      <c r="G25" s="7"/>
      <c r="H25" s="7"/>
      <c r="I25" s="7"/>
      <c r="J25" s="7"/>
      <c r="K25" s="49">
        <v>150000</v>
      </c>
      <c r="L25" s="7"/>
      <c r="M25" s="7"/>
      <c r="N25" s="7"/>
      <c r="O25" s="7"/>
      <c r="P25" s="7"/>
      <c r="Q25" s="7"/>
      <c r="R25" s="7"/>
      <c r="S25" s="70">
        <f>(Table143891011[[#This Row],[Commercial Bid Price per case for NOI ($)]]-Table143891011[[#This Row],[Pass-Thru Value per case ($)]])+Table143891011[[#This Row],[Region 1: Fixed Fee Per Case ($)]]</f>
        <v>0</v>
      </c>
      <c r="T25" s="71" t="e">
        <f>(Table143891011[[#This Row],[Commercial Bid Price per case for NOI ($)]]+Table143891011[[#This Row],[Region 1: Fixed Fee Per Case ($)]])/Table143891011[[#This Row],['# of CN Servings per case]]</f>
        <v>#DIV/0!</v>
      </c>
      <c r="U25" s="71" t="e">
        <f>Table143891011[[#This Row],[Total Cost Per Serving (O+P)/J]]*Table143891011[[#This Row],[Estimated Servings Annual]]</f>
        <v>#DIV/0!</v>
      </c>
      <c r="V25" s="70">
        <f>(Table143891011[[#This Row],[Commercial Bid Price per case for NOI ($)]]-Table143891011[[#This Row],[Pass-Thru Value per case ($)]])+Table143891011[[#This Row],[Region 2: Fixed Fee Per Case ($)]]</f>
        <v>0</v>
      </c>
      <c r="W25" s="71" t="e">
        <f>(Table143891011[[#This Row],[Commercial Bid Price per case for NOI ($)]]+Table143891011[[#This Row],[Region 2: Fixed Fee Per Case ($)]])/Table143891011[[#This Row],['# of CN Servings per case]]</f>
        <v>#DIV/0!</v>
      </c>
      <c r="X25" s="72" t="e">
        <f>Table143891011[[#This Row],[Total Cost Per Serving (O+Q)/J]]*Table143891011[[#This Row],[Estimated Servings Annual]]</f>
        <v>#DIV/0!</v>
      </c>
    </row>
    <row r="26" spans="1:24" ht="15" thickBot="1" x14ac:dyDescent="0.4">
      <c r="A26" s="30" t="s">
        <v>171</v>
      </c>
      <c r="B26" s="28" t="s">
        <v>174</v>
      </c>
      <c r="C26" s="8" t="s">
        <v>13</v>
      </c>
      <c r="D26" s="8"/>
      <c r="E26" s="8"/>
      <c r="F26" s="8"/>
      <c r="G26" s="8"/>
      <c r="H26" s="8"/>
      <c r="I26" s="8"/>
      <c r="J26" s="8"/>
      <c r="K26" s="50">
        <v>150000</v>
      </c>
      <c r="L26" s="8"/>
      <c r="M26" s="8"/>
      <c r="N26" s="8"/>
      <c r="O26" s="8"/>
      <c r="P26" s="8"/>
      <c r="Q26" s="8"/>
      <c r="R26" s="8"/>
      <c r="S26" s="73">
        <f>(Table143891011[[#This Row],[Commercial Bid Price per case for NOI ($)]]-Table143891011[[#This Row],[Pass-Thru Value per case ($)]])+Table143891011[[#This Row],[Region 1: Fixed Fee Per Case ($)]]</f>
        <v>0</v>
      </c>
      <c r="T26" s="74" t="e">
        <f>(Table143891011[[#This Row],[Commercial Bid Price per case for NOI ($)]]+Table143891011[[#This Row],[Region 1: Fixed Fee Per Case ($)]])/Table143891011[[#This Row],['# of CN Servings per case]]</f>
        <v>#DIV/0!</v>
      </c>
      <c r="U26" s="74" t="e">
        <f>Table143891011[[#This Row],[Total Cost Per Serving (O+P)/J]]*Table143891011[[#This Row],[Estimated Servings Annual]]</f>
        <v>#DIV/0!</v>
      </c>
      <c r="V26" s="73">
        <f>(Table143891011[[#This Row],[Commercial Bid Price per case for NOI ($)]]-Table143891011[[#This Row],[Pass-Thru Value per case ($)]])+Table143891011[[#This Row],[Region 2: Fixed Fee Per Case ($)]]</f>
        <v>0</v>
      </c>
      <c r="W26" s="74" t="e">
        <f>(Table143891011[[#This Row],[Commercial Bid Price per case for NOI ($)]]+Table143891011[[#This Row],[Region 2: Fixed Fee Per Case ($)]])/Table143891011[[#This Row],['# of CN Servings per case]]</f>
        <v>#DIV/0!</v>
      </c>
      <c r="X26" s="75" t="e">
        <f>Table143891011[[#This Row],[Total Cost Per Serving (O+Q)/J]]*Table143891011[[#This Row],[Estimated Servings Annual]]</f>
        <v>#DIV/0!</v>
      </c>
    </row>
    <row r="27" spans="1:24" x14ac:dyDescent="0.35">
      <c r="A27" s="30" t="s">
        <v>171</v>
      </c>
      <c r="B27" s="42" t="s">
        <v>175</v>
      </c>
      <c r="C27" s="6" t="s">
        <v>180</v>
      </c>
      <c r="D27" s="6"/>
      <c r="E27" s="6"/>
      <c r="F27" s="6"/>
      <c r="G27" s="6"/>
      <c r="H27" s="6"/>
      <c r="I27" s="6"/>
      <c r="J27" s="6"/>
      <c r="K27" s="48">
        <v>100000</v>
      </c>
      <c r="L27" s="6"/>
      <c r="M27" s="6"/>
      <c r="N27" s="6"/>
      <c r="O27" s="6"/>
      <c r="P27" s="6"/>
      <c r="Q27" s="6"/>
      <c r="R27" s="6"/>
      <c r="S27" s="67">
        <f>(Table143891011[[#This Row],[Commercial Bid Price per case for NOI ($)]]-Table143891011[[#This Row],[Pass-Thru Value per case ($)]])+Table143891011[[#This Row],[Region 1: Fixed Fee Per Case ($)]]</f>
        <v>0</v>
      </c>
      <c r="T27" s="68" t="e">
        <f>(Table143891011[[#This Row],[Commercial Bid Price per case for NOI ($)]]+Table143891011[[#This Row],[Region 1: Fixed Fee Per Case ($)]])/Table143891011[[#This Row],['# of CN Servings per case]]</f>
        <v>#DIV/0!</v>
      </c>
      <c r="U27" s="68" t="e">
        <f>Table143891011[[#This Row],[Total Cost Per Serving (O+P)/J]]*Table143891011[[#This Row],[Estimated Servings Annual]]</f>
        <v>#DIV/0!</v>
      </c>
      <c r="V27" s="67">
        <f>(Table143891011[[#This Row],[Commercial Bid Price per case for NOI ($)]]-Table143891011[[#This Row],[Pass-Thru Value per case ($)]])+Table143891011[[#This Row],[Region 2: Fixed Fee Per Case ($)]]</f>
        <v>0</v>
      </c>
      <c r="W27" s="68" t="e">
        <f>(Table143891011[[#This Row],[Commercial Bid Price per case for NOI ($)]]+Table143891011[[#This Row],[Region 2: Fixed Fee Per Case ($)]])/Table143891011[[#This Row],['# of CN Servings per case]]</f>
        <v>#DIV/0!</v>
      </c>
      <c r="X27" s="69" t="e">
        <f>Table143891011[[#This Row],[Total Cost Per Serving (O+Q)/J]]*Table143891011[[#This Row],[Estimated Servings Annual]]</f>
        <v>#DIV/0!</v>
      </c>
    </row>
    <row r="28" spans="1:24" x14ac:dyDescent="0.35">
      <c r="A28" s="30" t="s">
        <v>171</v>
      </c>
      <c r="B28" s="28" t="s">
        <v>175</v>
      </c>
      <c r="C28" s="7" t="s">
        <v>180</v>
      </c>
      <c r="D28" s="7"/>
      <c r="E28" s="7"/>
      <c r="F28" s="7"/>
      <c r="G28" s="7"/>
      <c r="H28" s="7"/>
      <c r="I28" s="7"/>
      <c r="J28" s="7"/>
      <c r="K28" s="49">
        <v>100000</v>
      </c>
      <c r="L28" s="7"/>
      <c r="M28" s="7"/>
      <c r="N28" s="7"/>
      <c r="O28" s="7"/>
      <c r="P28" s="7"/>
      <c r="Q28" s="7"/>
      <c r="R28" s="7"/>
      <c r="S28" s="70">
        <f>(Table143891011[[#This Row],[Commercial Bid Price per case for NOI ($)]]-Table143891011[[#This Row],[Pass-Thru Value per case ($)]])+Table143891011[[#This Row],[Region 1: Fixed Fee Per Case ($)]]</f>
        <v>0</v>
      </c>
      <c r="T28" s="71" t="e">
        <f>(Table143891011[[#This Row],[Commercial Bid Price per case for NOI ($)]]+Table143891011[[#This Row],[Region 1: Fixed Fee Per Case ($)]])/Table143891011[[#This Row],['# of CN Servings per case]]</f>
        <v>#DIV/0!</v>
      </c>
      <c r="U28" s="71" t="e">
        <f>Table143891011[[#This Row],[Total Cost Per Serving (O+P)/J]]*Table143891011[[#This Row],[Estimated Servings Annual]]</f>
        <v>#DIV/0!</v>
      </c>
      <c r="V28" s="70">
        <f>(Table143891011[[#This Row],[Commercial Bid Price per case for NOI ($)]]-Table143891011[[#This Row],[Pass-Thru Value per case ($)]])+Table143891011[[#This Row],[Region 2: Fixed Fee Per Case ($)]]</f>
        <v>0</v>
      </c>
      <c r="W28" s="71" t="e">
        <f>(Table143891011[[#This Row],[Commercial Bid Price per case for NOI ($)]]+Table143891011[[#This Row],[Region 2: Fixed Fee Per Case ($)]])/Table143891011[[#This Row],['# of CN Servings per case]]</f>
        <v>#DIV/0!</v>
      </c>
      <c r="X28" s="72" t="e">
        <f>Table143891011[[#This Row],[Total Cost Per Serving (O+Q)/J]]*Table143891011[[#This Row],[Estimated Servings Annual]]</f>
        <v>#DIV/0!</v>
      </c>
    </row>
    <row r="29" spans="1:24" x14ac:dyDescent="0.35">
      <c r="A29" s="30" t="s">
        <v>171</v>
      </c>
      <c r="B29" s="28" t="s">
        <v>175</v>
      </c>
      <c r="C29" s="7" t="s">
        <v>181</v>
      </c>
      <c r="D29" s="7"/>
      <c r="E29" s="7"/>
      <c r="F29" s="7"/>
      <c r="G29" s="7"/>
      <c r="H29" s="7"/>
      <c r="I29" s="7"/>
      <c r="J29" s="7"/>
      <c r="K29" s="49">
        <v>100000</v>
      </c>
      <c r="L29" s="7"/>
      <c r="M29" s="7"/>
      <c r="N29" s="7"/>
      <c r="O29" s="7"/>
      <c r="P29" s="7"/>
      <c r="Q29" s="7"/>
      <c r="R29" s="7"/>
      <c r="S29" s="70">
        <f>(Table143891011[[#This Row],[Commercial Bid Price per case for NOI ($)]]-Table143891011[[#This Row],[Pass-Thru Value per case ($)]])+Table143891011[[#This Row],[Region 1: Fixed Fee Per Case ($)]]</f>
        <v>0</v>
      </c>
      <c r="T29" s="71" t="e">
        <f>(Table143891011[[#This Row],[Commercial Bid Price per case for NOI ($)]]+Table143891011[[#This Row],[Region 1: Fixed Fee Per Case ($)]])/Table143891011[[#This Row],['# of CN Servings per case]]</f>
        <v>#DIV/0!</v>
      </c>
      <c r="U29" s="71" t="e">
        <f>Table143891011[[#This Row],[Total Cost Per Serving (O+P)/J]]*Table143891011[[#This Row],[Estimated Servings Annual]]</f>
        <v>#DIV/0!</v>
      </c>
      <c r="V29" s="70">
        <f>(Table143891011[[#This Row],[Commercial Bid Price per case for NOI ($)]]-Table143891011[[#This Row],[Pass-Thru Value per case ($)]])+Table143891011[[#This Row],[Region 2: Fixed Fee Per Case ($)]]</f>
        <v>0</v>
      </c>
      <c r="W29" s="71" t="e">
        <f>(Table143891011[[#This Row],[Commercial Bid Price per case for NOI ($)]]+Table143891011[[#This Row],[Region 2: Fixed Fee Per Case ($)]])/Table143891011[[#This Row],['# of CN Servings per case]]</f>
        <v>#DIV/0!</v>
      </c>
      <c r="X29" s="72" t="e">
        <f>Table143891011[[#This Row],[Total Cost Per Serving (O+Q)/J]]*Table143891011[[#This Row],[Estimated Servings Annual]]</f>
        <v>#DIV/0!</v>
      </c>
    </row>
    <row r="30" spans="1:24" x14ac:dyDescent="0.35">
      <c r="A30" s="30" t="s">
        <v>171</v>
      </c>
      <c r="B30" s="28" t="s">
        <v>175</v>
      </c>
      <c r="C30" s="7" t="s">
        <v>181</v>
      </c>
      <c r="D30" s="7"/>
      <c r="E30" s="7"/>
      <c r="F30" s="7"/>
      <c r="G30" s="7"/>
      <c r="H30" s="7"/>
      <c r="I30" s="7"/>
      <c r="J30" s="7"/>
      <c r="K30" s="49">
        <v>100000</v>
      </c>
      <c r="L30" s="7"/>
      <c r="M30" s="7"/>
      <c r="N30" s="7"/>
      <c r="O30" s="7"/>
      <c r="P30" s="7"/>
      <c r="Q30" s="7"/>
      <c r="R30" s="7"/>
      <c r="S30" s="70">
        <f>(Table143891011[[#This Row],[Commercial Bid Price per case for NOI ($)]]-Table143891011[[#This Row],[Pass-Thru Value per case ($)]])+Table143891011[[#This Row],[Region 1: Fixed Fee Per Case ($)]]</f>
        <v>0</v>
      </c>
      <c r="T30" s="71" t="e">
        <f>(Table143891011[[#This Row],[Commercial Bid Price per case for NOI ($)]]+Table143891011[[#This Row],[Region 1: Fixed Fee Per Case ($)]])/Table143891011[[#This Row],['# of CN Servings per case]]</f>
        <v>#DIV/0!</v>
      </c>
      <c r="U30" s="71" t="e">
        <f>Table143891011[[#This Row],[Total Cost Per Serving (O+P)/J]]*Table143891011[[#This Row],[Estimated Servings Annual]]</f>
        <v>#DIV/0!</v>
      </c>
      <c r="V30" s="70">
        <f>(Table143891011[[#This Row],[Commercial Bid Price per case for NOI ($)]]-Table143891011[[#This Row],[Pass-Thru Value per case ($)]])+Table143891011[[#This Row],[Region 2: Fixed Fee Per Case ($)]]</f>
        <v>0</v>
      </c>
      <c r="W30" s="71" t="e">
        <f>(Table143891011[[#This Row],[Commercial Bid Price per case for NOI ($)]]+Table143891011[[#This Row],[Region 2: Fixed Fee Per Case ($)]])/Table143891011[[#This Row],['# of CN Servings per case]]</f>
        <v>#DIV/0!</v>
      </c>
      <c r="X30" s="72" t="e">
        <f>Table143891011[[#This Row],[Total Cost Per Serving (O+Q)/J]]*Table143891011[[#This Row],[Estimated Servings Annual]]</f>
        <v>#DIV/0!</v>
      </c>
    </row>
    <row r="31" spans="1:24" x14ac:dyDescent="0.35">
      <c r="A31" s="30" t="s">
        <v>171</v>
      </c>
      <c r="B31" s="28" t="s">
        <v>175</v>
      </c>
      <c r="C31" s="7" t="s">
        <v>13</v>
      </c>
      <c r="D31" s="7"/>
      <c r="E31" s="7"/>
      <c r="F31" s="7"/>
      <c r="G31" s="7"/>
      <c r="H31" s="7"/>
      <c r="I31" s="7"/>
      <c r="J31" s="7"/>
      <c r="K31" s="49">
        <v>100000</v>
      </c>
      <c r="L31" s="7"/>
      <c r="M31" s="7"/>
      <c r="N31" s="7"/>
      <c r="O31" s="7"/>
      <c r="P31" s="7"/>
      <c r="Q31" s="7"/>
      <c r="R31" s="7"/>
      <c r="S31" s="70">
        <f>(Table143891011[[#This Row],[Commercial Bid Price per case for NOI ($)]]-Table143891011[[#This Row],[Pass-Thru Value per case ($)]])+Table143891011[[#This Row],[Region 1: Fixed Fee Per Case ($)]]</f>
        <v>0</v>
      </c>
      <c r="T31" s="71" t="e">
        <f>(Table143891011[[#This Row],[Commercial Bid Price per case for NOI ($)]]+Table143891011[[#This Row],[Region 1: Fixed Fee Per Case ($)]])/Table143891011[[#This Row],['# of CN Servings per case]]</f>
        <v>#DIV/0!</v>
      </c>
      <c r="U31" s="71" t="e">
        <f>Table143891011[[#This Row],[Total Cost Per Serving (O+P)/J]]*Table143891011[[#This Row],[Estimated Servings Annual]]</f>
        <v>#DIV/0!</v>
      </c>
      <c r="V31" s="70">
        <f>(Table143891011[[#This Row],[Commercial Bid Price per case for NOI ($)]]-Table143891011[[#This Row],[Pass-Thru Value per case ($)]])+Table143891011[[#This Row],[Region 2: Fixed Fee Per Case ($)]]</f>
        <v>0</v>
      </c>
      <c r="W31" s="71" t="e">
        <f>(Table143891011[[#This Row],[Commercial Bid Price per case for NOI ($)]]+Table143891011[[#This Row],[Region 2: Fixed Fee Per Case ($)]])/Table143891011[[#This Row],['# of CN Servings per case]]</f>
        <v>#DIV/0!</v>
      </c>
      <c r="X31" s="72" t="e">
        <f>Table143891011[[#This Row],[Total Cost Per Serving (O+Q)/J]]*Table143891011[[#This Row],[Estimated Servings Annual]]</f>
        <v>#DIV/0!</v>
      </c>
    </row>
    <row r="32" spans="1:24" x14ac:dyDescent="0.35">
      <c r="A32" s="30" t="s">
        <v>171</v>
      </c>
      <c r="B32" s="28" t="s">
        <v>175</v>
      </c>
      <c r="C32" s="7" t="s">
        <v>13</v>
      </c>
      <c r="D32" s="7"/>
      <c r="E32" s="7"/>
      <c r="F32" s="7"/>
      <c r="G32" s="7"/>
      <c r="H32" s="7"/>
      <c r="I32" s="7"/>
      <c r="J32" s="7"/>
      <c r="K32" s="49">
        <v>100000</v>
      </c>
      <c r="L32" s="7"/>
      <c r="M32" s="7"/>
      <c r="N32" s="7"/>
      <c r="O32" s="7"/>
      <c r="P32" s="7"/>
      <c r="Q32" s="7"/>
      <c r="R32" s="7"/>
      <c r="S32" s="70">
        <f>(Table143891011[[#This Row],[Commercial Bid Price per case for NOI ($)]]-Table143891011[[#This Row],[Pass-Thru Value per case ($)]])+Table143891011[[#This Row],[Region 1: Fixed Fee Per Case ($)]]</f>
        <v>0</v>
      </c>
      <c r="T32" s="71" t="e">
        <f>(Table143891011[[#This Row],[Commercial Bid Price per case for NOI ($)]]+Table143891011[[#This Row],[Region 1: Fixed Fee Per Case ($)]])/Table143891011[[#This Row],['# of CN Servings per case]]</f>
        <v>#DIV/0!</v>
      </c>
      <c r="U32" s="71" t="e">
        <f>Table143891011[[#This Row],[Total Cost Per Serving (O+P)/J]]*Table143891011[[#This Row],[Estimated Servings Annual]]</f>
        <v>#DIV/0!</v>
      </c>
      <c r="V32" s="70">
        <f>(Table143891011[[#This Row],[Commercial Bid Price per case for NOI ($)]]-Table143891011[[#This Row],[Pass-Thru Value per case ($)]])+Table143891011[[#This Row],[Region 2: Fixed Fee Per Case ($)]]</f>
        <v>0</v>
      </c>
      <c r="W32" s="71" t="e">
        <f>(Table143891011[[#This Row],[Commercial Bid Price per case for NOI ($)]]+Table143891011[[#This Row],[Region 2: Fixed Fee Per Case ($)]])/Table143891011[[#This Row],['# of CN Servings per case]]</f>
        <v>#DIV/0!</v>
      </c>
      <c r="X32" s="72" t="e">
        <f>Table143891011[[#This Row],[Total Cost Per Serving (O+Q)/J]]*Table143891011[[#This Row],[Estimated Servings Annual]]</f>
        <v>#DIV/0!</v>
      </c>
    </row>
    <row r="33" spans="1:24" x14ac:dyDescent="0.35">
      <c r="A33" s="30" t="s">
        <v>171</v>
      </c>
      <c r="B33" s="28" t="s">
        <v>175</v>
      </c>
      <c r="C33" s="7" t="s">
        <v>13</v>
      </c>
      <c r="D33" s="7"/>
      <c r="E33" s="7"/>
      <c r="F33" s="7"/>
      <c r="G33" s="7"/>
      <c r="H33" s="7"/>
      <c r="I33" s="7"/>
      <c r="J33" s="7"/>
      <c r="K33" s="49">
        <v>100000</v>
      </c>
      <c r="L33" s="7"/>
      <c r="M33" s="7"/>
      <c r="N33" s="7"/>
      <c r="O33" s="7"/>
      <c r="P33" s="7"/>
      <c r="Q33" s="7"/>
      <c r="R33" s="7"/>
      <c r="S33" s="70">
        <f>(Table143891011[[#This Row],[Commercial Bid Price per case for NOI ($)]]-Table143891011[[#This Row],[Pass-Thru Value per case ($)]])+Table143891011[[#This Row],[Region 1: Fixed Fee Per Case ($)]]</f>
        <v>0</v>
      </c>
      <c r="T33" s="71" t="e">
        <f>(Table143891011[[#This Row],[Commercial Bid Price per case for NOI ($)]]+Table143891011[[#This Row],[Region 1: Fixed Fee Per Case ($)]])/Table143891011[[#This Row],['# of CN Servings per case]]</f>
        <v>#DIV/0!</v>
      </c>
      <c r="U33" s="71" t="e">
        <f>Table143891011[[#This Row],[Total Cost Per Serving (O+P)/J]]*Table143891011[[#This Row],[Estimated Servings Annual]]</f>
        <v>#DIV/0!</v>
      </c>
      <c r="V33" s="70">
        <f>(Table143891011[[#This Row],[Commercial Bid Price per case for NOI ($)]]-Table143891011[[#This Row],[Pass-Thru Value per case ($)]])+Table143891011[[#This Row],[Region 2: Fixed Fee Per Case ($)]]</f>
        <v>0</v>
      </c>
      <c r="W33" s="71" t="e">
        <f>(Table143891011[[#This Row],[Commercial Bid Price per case for NOI ($)]]+Table143891011[[#This Row],[Region 2: Fixed Fee Per Case ($)]])/Table143891011[[#This Row],['# of CN Servings per case]]</f>
        <v>#DIV/0!</v>
      </c>
      <c r="X33" s="72" t="e">
        <f>Table143891011[[#This Row],[Total Cost Per Serving (O+Q)/J]]*Table143891011[[#This Row],[Estimated Servings Annual]]</f>
        <v>#DIV/0!</v>
      </c>
    </row>
    <row r="34" spans="1:24" ht="15" thickBot="1" x14ac:dyDescent="0.4">
      <c r="A34" s="30" t="s">
        <v>171</v>
      </c>
      <c r="B34" s="28" t="s">
        <v>175</v>
      </c>
      <c r="C34" s="8" t="s">
        <v>13</v>
      </c>
      <c r="D34" s="27"/>
      <c r="E34" s="27"/>
      <c r="F34" s="27"/>
      <c r="G34" s="27"/>
      <c r="H34" s="27"/>
      <c r="I34" s="27"/>
      <c r="J34" s="27"/>
      <c r="K34" s="50">
        <v>100000</v>
      </c>
      <c r="L34" s="27"/>
      <c r="M34" s="27"/>
      <c r="N34" s="27"/>
      <c r="O34" s="27"/>
      <c r="P34" s="27"/>
      <c r="Q34" s="27"/>
      <c r="R34" s="27"/>
      <c r="S34" s="94">
        <f>(Table143891011[[#This Row],[Commercial Bid Price per case for NOI ($)]]-Table143891011[[#This Row],[Pass-Thru Value per case ($)]])+Table143891011[[#This Row],[Region 1: Fixed Fee Per Case ($)]]</f>
        <v>0</v>
      </c>
      <c r="T34" s="95" t="e">
        <f>(Table143891011[[#This Row],[Commercial Bid Price per case for NOI ($)]]+Table143891011[[#This Row],[Region 1: Fixed Fee Per Case ($)]])/Table143891011[[#This Row],['# of CN Servings per case]]</f>
        <v>#DIV/0!</v>
      </c>
      <c r="U34" s="95" t="e">
        <f>Table143891011[[#This Row],[Total Cost Per Serving (O+P)/J]]*Table143891011[[#This Row],[Estimated Servings Annual]]</f>
        <v>#DIV/0!</v>
      </c>
      <c r="V34" s="94">
        <f>(Table143891011[[#This Row],[Commercial Bid Price per case for NOI ($)]]-Table143891011[[#This Row],[Pass-Thru Value per case ($)]])+Table143891011[[#This Row],[Region 2: Fixed Fee Per Case ($)]]</f>
        <v>0</v>
      </c>
      <c r="W34" s="95" t="e">
        <f>(Table143891011[[#This Row],[Commercial Bid Price per case for NOI ($)]]+Table143891011[[#This Row],[Region 2: Fixed Fee Per Case ($)]])/Table143891011[[#This Row],['# of CN Servings per case]]</f>
        <v>#DIV/0!</v>
      </c>
      <c r="X34" s="96" t="e">
        <f>Table143891011[[#This Row],[Total Cost Per Serving (O+Q)/J]]*Table143891011[[#This Row],[Estimated Servings Annual]]</f>
        <v>#DIV/0!</v>
      </c>
    </row>
    <row r="35" spans="1:24" x14ac:dyDescent="0.35">
      <c r="A35" s="30" t="s">
        <v>171</v>
      </c>
      <c r="B35" s="11" t="s">
        <v>176</v>
      </c>
      <c r="C35" s="6" t="s">
        <v>180</v>
      </c>
      <c r="D35" s="6"/>
      <c r="E35" s="6"/>
      <c r="F35" s="6"/>
      <c r="G35" s="6"/>
      <c r="H35" s="6"/>
      <c r="I35" s="6"/>
      <c r="J35" s="6"/>
      <c r="K35" s="48">
        <v>100000</v>
      </c>
      <c r="L35" s="6"/>
      <c r="M35" s="6"/>
      <c r="N35" s="6"/>
      <c r="O35" s="6"/>
      <c r="P35" s="6"/>
      <c r="Q35" s="6"/>
      <c r="R35" s="6"/>
      <c r="S35" s="79">
        <f>(Table143891011[[#This Row],[Commercial Bid Price per case for NOI ($)]]-Table143891011[[#This Row],[Pass-Thru Value per case ($)]])+Table143891011[[#This Row],[Region 1: Fixed Fee Per Case ($)]]</f>
        <v>0</v>
      </c>
      <c r="T35" s="76" t="e">
        <f>(Table143891011[[#This Row],[Commercial Bid Price per case for NOI ($)]]+Table143891011[[#This Row],[Region 1: Fixed Fee Per Case ($)]])/Table143891011[[#This Row],['# of CN Servings per case]]</f>
        <v>#DIV/0!</v>
      </c>
      <c r="U35" s="76" t="e">
        <f>Table143891011[[#This Row],[Total Cost Per Serving (O+P)/J]]*Table143891011[[#This Row],[Estimated Servings Annual]]</f>
        <v>#DIV/0!</v>
      </c>
      <c r="V35" s="79">
        <f>(Table143891011[[#This Row],[Commercial Bid Price per case for NOI ($)]]-Table143891011[[#This Row],[Pass-Thru Value per case ($)]])+Table143891011[[#This Row],[Region 2: Fixed Fee Per Case ($)]]</f>
        <v>0</v>
      </c>
      <c r="W35" s="76" t="e">
        <f>(Table143891011[[#This Row],[Commercial Bid Price per case for NOI ($)]]+Table143891011[[#This Row],[Region 2: Fixed Fee Per Case ($)]])/Table143891011[[#This Row],['# of CN Servings per case]]</f>
        <v>#DIV/0!</v>
      </c>
      <c r="X35" s="80" t="e">
        <f>Table143891011[[#This Row],[Total Cost Per Serving (O+Q)/J]]*Table143891011[[#This Row],[Estimated Servings Annual]]</f>
        <v>#DIV/0!</v>
      </c>
    </row>
    <row r="36" spans="1:24" x14ac:dyDescent="0.35">
      <c r="A36" s="30" t="s">
        <v>171</v>
      </c>
      <c r="B36" s="12" t="s">
        <v>176</v>
      </c>
      <c r="C36" s="7" t="s">
        <v>180</v>
      </c>
      <c r="D36" s="7"/>
      <c r="E36" s="7"/>
      <c r="F36" s="7"/>
      <c r="G36" s="7"/>
      <c r="H36" s="7"/>
      <c r="I36" s="7"/>
      <c r="J36" s="7"/>
      <c r="K36" s="49">
        <v>100000</v>
      </c>
      <c r="L36" s="7"/>
      <c r="M36" s="7"/>
      <c r="N36" s="7"/>
      <c r="O36" s="7"/>
      <c r="P36" s="7"/>
      <c r="Q36" s="7"/>
      <c r="R36" s="7"/>
      <c r="S36" s="81">
        <f>(Table143891011[[#This Row],[Commercial Bid Price per case for NOI ($)]]-Table143891011[[#This Row],[Pass-Thru Value per case ($)]])+Table143891011[[#This Row],[Region 1: Fixed Fee Per Case ($)]]</f>
        <v>0</v>
      </c>
      <c r="T36" s="77" t="e">
        <f>(Table143891011[[#This Row],[Commercial Bid Price per case for NOI ($)]]+Table143891011[[#This Row],[Region 1: Fixed Fee Per Case ($)]])/Table143891011[[#This Row],['# of CN Servings per case]]</f>
        <v>#DIV/0!</v>
      </c>
      <c r="U36" s="77" t="e">
        <f>Table143891011[[#This Row],[Total Cost Per Serving (O+P)/J]]*Table143891011[[#This Row],[Estimated Servings Annual]]</f>
        <v>#DIV/0!</v>
      </c>
      <c r="V36" s="81">
        <f>(Table143891011[[#This Row],[Commercial Bid Price per case for NOI ($)]]-Table143891011[[#This Row],[Pass-Thru Value per case ($)]])+Table143891011[[#This Row],[Region 2: Fixed Fee Per Case ($)]]</f>
        <v>0</v>
      </c>
      <c r="W36" s="77" t="e">
        <f>(Table143891011[[#This Row],[Commercial Bid Price per case for NOI ($)]]+Table143891011[[#This Row],[Region 2: Fixed Fee Per Case ($)]])/Table143891011[[#This Row],['# of CN Servings per case]]</f>
        <v>#DIV/0!</v>
      </c>
      <c r="X36" s="82" t="e">
        <f>Table143891011[[#This Row],[Total Cost Per Serving (O+Q)/J]]*Table143891011[[#This Row],[Estimated Servings Annual]]</f>
        <v>#DIV/0!</v>
      </c>
    </row>
    <row r="37" spans="1:24" x14ac:dyDescent="0.35">
      <c r="A37" s="30" t="s">
        <v>171</v>
      </c>
      <c r="B37" s="12" t="s">
        <v>176</v>
      </c>
      <c r="C37" s="7" t="s">
        <v>181</v>
      </c>
      <c r="D37" s="7"/>
      <c r="E37" s="7"/>
      <c r="F37" s="7"/>
      <c r="G37" s="7"/>
      <c r="H37" s="7"/>
      <c r="I37" s="7"/>
      <c r="J37" s="7"/>
      <c r="K37" s="49">
        <v>100000</v>
      </c>
      <c r="L37" s="7"/>
      <c r="M37" s="7"/>
      <c r="N37" s="7"/>
      <c r="O37" s="7"/>
      <c r="P37" s="7"/>
      <c r="Q37" s="7"/>
      <c r="R37" s="7"/>
      <c r="S37" s="81">
        <f>(Table143891011[[#This Row],[Commercial Bid Price per case for NOI ($)]]-Table143891011[[#This Row],[Pass-Thru Value per case ($)]])+Table143891011[[#This Row],[Region 1: Fixed Fee Per Case ($)]]</f>
        <v>0</v>
      </c>
      <c r="T37" s="77" t="e">
        <f>(Table143891011[[#This Row],[Commercial Bid Price per case for NOI ($)]]+Table143891011[[#This Row],[Region 1: Fixed Fee Per Case ($)]])/Table143891011[[#This Row],['# of CN Servings per case]]</f>
        <v>#DIV/0!</v>
      </c>
      <c r="U37" s="77" t="e">
        <f>Table143891011[[#This Row],[Total Cost Per Serving (O+P)/J]]*Table143891011[[#This Row],[Estimated Servings Annual]]</f>
        <v>#DIV/0!</v>
      </c>
      <c r="V37" s="81">
        <f>(Table143891011[[#This Row],[Commercial Bid Price per case for NOI ($)]]-Table143891011[[#This Row],[Pass-Thru Value per case ($)]])+Table143891011[[#This Row],[Region 2: Fixed Fee Per Case ($)]]</f>
        <v>0</v>
      </c>
      <c r="W37" s="77" t="e">
        <f>(Table143891011[[#This Row],[Commercial Bid Price per case for NOI ($)]]+Table143891011[[#This Row],[Region 2: Fixed Fee Per Case ($)]])/Table143891011[[#This Row],['# of CN Servings per case]]</f>
        <v>#DIV/0!</v>
      </c>
      <c r="X37" s="82" t="e">
        <f>Table143891011[[#This Row],[Total Cost Per Serving (O+Q)/J]]*Table143891011[[#This Row],[Estimated Servings Annual]]</f>
        <v>#DIV/0!</v>
      </c>
    </row>
    <row r="38" spans="1:24" x14ac:dyDescent="0.35">
      <c r="A38" s="30" t="s">
        <v>171</v>
      </c>
      <c r="B38" s="12" t="s">
        <v>176</v>
      </c>
      <c r="C38" s="7" t="s">
        <v>181</v>
      </c>
      <c r="D38" s="7"/>
      <c r="E38" s="7"/>
      <c r="F38" s="7"/>
      <c r="G38" s="7"/>
      <c r="H38" s="7"/>
      <c r="I38" s="7"/>
      <c r="J38" s="7"/>
      <c r="K38" s="49">
        <v>100000</v>
      </c>
      <c r="L38" s="7"/>
      <c r="M38" s="7"/>
      <c r="N38" s="7"/>
      <c r="O38" s="7"/>
      <c r="P38" s="7"/>
      <c r="Q38" s="7"/>
      <c r="R38" s="7"/>
      <c r="S38" s="81">
        <f>(Table143891011[[#This Row],[Commercial Bid Price per case for NOI ($)]]-Table143891011[[#This Row],[Pass-Thru Value per case ($)]])+Table143891011[[#This Row],[Region 1: Fixed Fee Per Case ($)]]</f>
        <v>0</v>
      </c>
      <c r="T38" s="77" t="e">
        <f>(Table143891011[[#This Row],[Commercial Bid Price per case for NOI ($)]]+Table143891011[[#This Row],[Region 1: Fixed Fee Per Case ($)]])/Table143891011[[#This Row],['# of CN Servings per case]]</f>
        <v>#DIV/0!</v>
      </c>
      <c r="U38" s="77" t="e">
        <f>Table143891011[[#This Row],[Total Cost Per Serving (O+P)/J]]*Table143891011[[#This Row],[Estimated Servings Annual]]</f>
        <v>#DIV/0!</v>
      </c>
      <c r="V38" s="81">
        <f>(Table143891011[[#This Row],[Commercial Bid Price per case for NOI ($)]]-Table143891011[[#This Row],[Pass-Thru Value per case ($)]])+Table143891011[[#This Row],[Region 2: Fixed Fee Per Case ($)]]</f>
        <v>0</v>
      </c>
      <c r="W38" s="77" t="e">
        <f>(Table143891011[[#This Row],[Commercial Bid Price per case for NOI ($)]]+Table143891011[[#This Row],[Region 2: Fixed Fee Per Case ($)]])/Table143891011[[#This Row],['# of CN Servings per case]]</f>
        <v>#DIV/0!</v>
      </c>
      <c r="X38" s="82" t="e">
        <f>Table143891011[[#This Row],[Total Cost Per Serving (O+Q)/J]]*Table143891011[[#This Row],[Estimated Servings Annual]]</f>
        <v>#DIV/0!</v>
      </c>
    </row>
    <row r="39" spans="1:24" x14ac:dyDescent="0.35">
      <c r="A39" s="30" t="s">
        <v>171</v>
      </c>
      <c r="B39" s="12" t="s">
        <v>176</v>
      </c>
      <c r="C39" s="7" t="s">
        <v>13</v>
      </c>
      <c r="D39" s="7"/>
      <c r="E39" s="7"/>
      <c r="F39" s="7"/>
      <c r="G39" s="7"/>
      <c r="H39" s="7"/>
      <c r="I39" s="7"/>
      <c r="J39" s="7"/>
      <c r="K39" s="49">
        <v>100000</v>
      </c>
      <c r="L39" s="7"/>
      <c r="M39" s="7"/>
      <c r="N39" s="7"/>
      <c r="O39" s="7"/>
      <c r="P39" s="7"/>
      <c r="Q39" s="7"/>
      <c r="R39" s="7"/>
      <c r="S39" s="81">
        <f>(Table143891011[[#This Row],[Commercial Bid Price per case for NOI ($)]]-Table143891011[[#This Row],[Pass-Thru Value per case ($)]])+Table143891011[[#This Row],[Region 1: Fixed Fee Per Case ($)]]</f>
        <v>0</v>
      </c>
      <c r="T39" s="77" t="e">
        <f>(Table143891011[[#This Row],[Commercial Bid Price per case for NOI ($)]]+Table143891011[[#This Row],[Region 1: Fixed Fee Per Case ($)]])/Table143891011[[#This Row],['# of CN Servings per case]]</f>
        <v>#DIV/0!</v>
      </c>
      <c r="U39" s="77" t="e">
        <f>Table143891011[[#This Row],[Total Cost Per Serving (O+P)/J]]*Table143891011[[#This Row],[Estimated Servings Annual]]</f>
        <v>#DIV/0!</v>
      </c>
      <c r="V39" s="81">
        <f>(Table143891011[[#This Row],[Commercial Bid Price per case for NOI ($)]]-Table143891011[[#This Row],[Pass-Thru Value per case ($)]])+Table143891011[[#This Row],[Region 2: Fixed Fee Per Case ($)]]</f>
        <v>0</v>
      </c>
      <c r="W39" s="77" t="e">
        <f>(Table143891011[[#This Row],[Commercial Bid Price per case for NOI ($)]]+Table143891011[[#This Row],[Region 2: Fixed Fee Per Case ($)]])/Table143891011[[#This Row],['# of CN Servings per case]]</f>
        <v>#DIV/0!</v>
      </c>
      <c r="X39" s="82" t="e">
        <f>Table143891011[[#This Row],[Total Cost Per Serving (O+Q)/J]]*Table143891011[[#This Row],[Estimated Servings Annual]]</f>
        <v>#DIV/0!</v>
      </c>
    </row>
    <row r="40" spans="1:24" x14ac:dyDescent="0.35">
      <c r="A40" s="30" t="s">
        <v>171</v>
      </c>
      <c r="B40" s="12" t="s">
        <v>176</v>
      </c>
      <c r="C40" s="7" t="s">
        <v>13</v>
      </c>
      <c r="D40" s="7"/>
      <c r="E40" s="7"/>
      <c r="F40" s="7"/>
      <c r="G40" s="7"/>
      <c r="H40" s="7"/>
      <c r="I40" s="7"/>
      <c r="J40" s="7"/>
      <c r="K40" s="49">
        <v>100000</v>
      </c>
      <c r="L40" s="7"/>
      <c r="M40" s="7"/>
      <c r="N40" s="7"/>
      <c r="O40" s="7"/>
      <c r="P40" s="7"/>
      <c r="Q40" s="7"/>
      <c r="R40" s="7"/>
      <c r="S40" s="81">
        <f>(Table143891011[[#This Row],[Commercial Bid Price per case for NOI ($)]]-Table143891011[[#This Row],[Pass-Thru Value per case ($)]])+Table143891011[[#This Row],[Region 1: Fixed Fee Per Case ($)]]</f>
        <v>0</v>
      </c>
      <c r="T40" s="77" t="e">
        <f>(Table143891011[[#This Row],[Commercial Bid Price per case for NOI ($)]]+Table143891011[[#This Row],[Region 1: Fixed Fee Per Case ($)]])/Table143891011[[#This Row],['# of CN Servings per case]]</f>
        <v>#DIV/0!</v>
      </c>
      <c r="U40" s="77" t="e">
        <f>Table143891011[[#This Row],[Total Cost Per Serving (O+P)/J]]*Table143891011[[#This Row],[Estimated Servings Annual]]</f>
        <v>#DIV/0!</v>
      </c>
      <c r="V40" s="81">
        <f>(Table143891011[[#This Row],[Commercial Bid Price per case for NOI ($)]]-Table143891011[[#This Row],[Pass-Thru Value per case ($)]])+Table143891011[[#This Row],[Region 2: Fixed Fee Per Case ($)]]</f>
        <v>0</v>
      </c>
      <c r="W40" s="77" t="e">
        <f>(Table143891011[[#This Row],[Commercial Bid Price per case for NOI ($)]]+Table143891011[[#This Row],[Region 2: Fixed Fee Per Case ($)]])/Table143891011[[#This Row],['# of CN Servings per case]]</f>
        <v>#DIV/0!</v>
      </c>
      <c r="X40" s="82" t="e">
        <f>Table143891011[[#This Row],[Total Cost Per Serving (O+Q)/J]]*Table143891011[[#This Row],[Estimated Servings Annual]]</f>
        <v>#DIV/0!</v>
      </c>
    </row>
    <row r="41" spans="1:24" x14ac:dyDescent="0.35">
      <c r="A41" s="30" t="s">
        <v>171</v>
      </c>
      <c r="B41" s="12" t="s">
        <v>176</v>
      </c>
      <c r="C41" s="7" t="s">
        <v>13</v>
      </c>
      <c r="D41" s="7"/>
      <c r="E41" s="7"/>
      <c r="F41" s="7"/>
      <c r="G41" s="7"/>
      <c r="H41" s="7"/>
      <c r="I41" s="7"/>
      <c r="J41" s="7"/>
      <c r="K41" s="49">
        <v>100000</v>
      </c>
      <c r="L41" s="7"/>
      <c r="M41" s="7"/>
      <c r="N41" s="7"/>
      <c r="O41" s="7"/>
      <c r="P41" s="7"/>
      <c r="Q41" s="7"/>
      <c r="R41" s="7"/>
      <c r="S41" s="81">
        <f>(Table143891011[[#This Row],[Commercial Bid Price per case for NOI ($)]]-Table143891011[[#This Row],[Pass-Thru Value per case ($)]])+Table143891011[[#This Row],[Region 1: Fixed Fee Per Case ($)]]</f>
        <v>0</v>
      </c>
      <c r="T41" s="77" t="e">
        <f>(Table143891011[[#This Row],[Commercial Bid Price per case for NOI ($)]]+Table143891011[[#This Row],[Region 1: Fixed Fee Per Case ($)]])/Table143891011[[#This Row],['# of CN Servings per case]]</f>
        <v>#DIV/0!</v>
      </c>
      <c r="U41" s="77" t="e">
        <f>Table143891011[[#This Row],[Total Cost Per Serving (O+P)/J]]*Table143891011[[#This Row],[Estimated Servings Annual]]</f>
        <v>#DIV/0!</v>
      </c>
      <c r="V41" s="81">
        <f>(Table143891011[[#This Row],[Commercial Bid Price per case for NOI ($)]]-Table143891011[[#This Row],[Pass-Thru Value per case ($)]])+Table143891011[[#This Row],[Region 2: Fixed Fee Per Case ($)]]</f>
        <v>0</v>
      </c>
      <c r="W41" s="77" t="e">
        <f>(Table143891011[[#This Row],[Commercial Bid Price per case for NOI ($)]]+Table143891011[[#This Row],[Region 2: Fixed Fee Per Case ($)]])/Table143891011[[#This Row],['# of CN Servings per case]]</f>
        <v>#DIV/0!</v>
      </c>
      <c r="X41" s="82" t="e">
        <f>Table143891011[[#This Row],[Total Cost Per Serving (O+Q)/J]]*Table143891011[[#This Row],[Estimated Servings Annual]]</f>
        <v>#DIV/0!</v>
      </c>
    </row>
    <row r="42" spans="1:24" ht="15" thickBot="1" x14ac:dyDescent="0.4">
      <c r="A42" s="30" t="s">
        <v>171</v>
      </c>
      <c r="B42" s="12" t="s">
        <v>176</v>
      </c>
      <c r="C42" s="8" t="s">
        <v>13</v>
      </c>
      <c r="D42" s="8"/>
      <c r="E42" s="8"/>
      <c r="F42" s="8"/>
      <c r="G42" s="8"/>
      <c r="H42" s="8"/>
      <c r="I42" s="8"/>
      <c r="J42" s="8"/>
      <c r="K42" s="50">
        <v>100000</v>
      </c>
      <c r="L42" s="8"/>
      <c r="M42" s="8"/>
      <c r="N42" s="8"/>
      <c r="O42" s="8"/>
      <c r="P42" s="8"/>
      <c r="Q42" s="8"/>
      <c r="R42" s="8"/>
      <c r="S42" s="83">
        <f>(Table143891011[[#This Row],[Commercial Bid Price per case for NOI ($)]]-Table143891011[[#This Row],[Pass-Thru Value per case ($)]])+Table143891011[[#This Row],[Region 1: Fixed Fee Per Case ($)]]</f>
        <v>0</v>
      </c>
      <c r="T42" s="78" t="e">
        <f>(Table143891011[[#This Row],[Commercial Bid Price per case for NOI ($)]]+Table143891011[[#This Row],[Region 1: Fixed Fee Per Case ($)]])/Table143891011[[#This Row],['# of CN Servings per case]]</f>
        <v>#DIV/0!</v>
      </c>
      <c r="U42" s="78" t="e">
        <f>Table143891011[[#This Row],[Total Cost Per Serving (O+P)/J]]*Table143891011[[#This Row],[Estimated Servings Annual]]</f>
        <v>#DIV/0!</v>
      </c>
      <c r="V42" s="83">
        <f>(Table143891011[[#This Row],[Commercial Bid Price per case for NOI ($)]]-Table143891011[[#This Row],[Pass-Thru Value per case ($)]])+Table143891011[[#This Row],[Region 2: Fixed Fee Per Case ($)]]</f>
        <v>0</v>
      </c>
      <c r="W42" s="78" t="e">
        <f>(Table143891011[[#This Row],[Commercial Bid Price per case for NOI ($)]]+Table143891011[[#This Row],[Region 2: Fixed Fee Per Case ($)]])/Table143891011[[#This Row],['# of CN Servings per case]]</f>
        <v>#DIV/0!</v>
      </c>
      <c r="X42" s="84" t="e">
        <f>Table143891011[[#This Row],[Total Cost Per Serving (O+Q)/J]]*Table143891011[[#This Row],[Estimated Servings Annual]]</f>
        <v>#DIV/0!</v>
      </c>
    </row>
    <row r="43" spans="1:24" x14ac:dyDescent="0.35">
      <c r="A43" s="30" t="s">
        <v>171</v>
      </c>
      <c r="B43" s="11" t="s">
        <v>177</v>
      </c>
      <c r="C43" s="6" t="s">
        <v>180</v>
      </c>
      <c r="D43" s="6"/>
      <c r="E43" s="6"/>
      <c r="F43" s="6"/>
      <c r="G43" s="6"/>
      <c r="H43" s="6"/>
      <c r="I43" s="6"/>
      <c r="J43" s="6"/>
      <c r="K43" s="48">
        <v>150000</v>
      </c>
      <c r="L43" s="6"/>
      <c r="M43" s="6"/>
      <c r="N43" s="6"/>
      <c r="O43" s="6"/>
      <c r="P43" s="6"/>
      <c r="Q43" s="6"/>
      <c r="R43" s="6"/>
      <c r="S43" s="79">
        <f>(Table143891011[[#This Row],[Commercial Bid Price per case for NOI ($)]]-Table143891011[[#This Row],[Pass-Thru Value per case ($)]])+Table143891011[[#This Row],[Region 1: Fixed Fee Per Case ($)]]</f>
        <v>0</v>
      </c>
      <c r="T43" s="76" t="e">
        <f>(Table143891011[[#This Row],[Commercial Bid Price per case for NOI ($)]]+Table143891011[[#This Row],[Region 1: Fixed Fee Per Case ($)]])/Table143891011[[#This Row],['# of CN Servings per case]]</f>
        <v>#DIV/0!</v>
      </c>
      <c r="U43" s="76" t="e">
        <f>Table143891011[[#This Row],[Total Cost Per Serving (O+P)/J]]*Table143891011[[#This Row],[Estimated Servings Annual]]</f>
        <v>#DIV/0!</v>
      </c>
      <c r="V43" s="79">
        <f>(Table143891011[[#This Row],[Commercial Bid Price per case for NOI ($)]]-Table143891011[[#This Row],[Pass-Thru Value per case ($)]])+Table143891011[[#This Row],[Region 2: Fixed Fee Per Case ($)]]</f>
        <v>0</v>
      </c>
      <c r="W43" s="76" t="e">
        <f>(Table143891011[[#This Row],[Commercial Bid Price per case for NOI ($)]]+Table143891011[[#This Row],[Region 2: Fixed Fee Per Case ($)]])/Table143891011[[#This Row],['# of CN Servings per case]]</f>
        <v>#DIV/0!</v>
      </c>
      <c r="X43" s="80" t="e">
        <f>Table143891011[[#This Row],[Total Cost Per Serving (O+Q)/J]]*Table143891011[[#This Row],[Estimated Servings Annual]]</f>
        <v>#DIV/0!</v>
      </c>
    </row>
    <row r="44" spans="1:24" x14ac:dyDescent="0.35">
      <c r="A44" s="30" t="s">
        <v>171</v>
      </c>
      <c r="B44" s="12" t="s">
        <v>177</v>
      </c>
      <c r="C44" s="7" t="s">
        <v>180</v>
      </c>
      <c r="D44" s="7"/>
      <c r="E44" s="7"/>
      <c r="F44" s="7"/>
      <c r="G44" s="7"/>
      <c r="H44" s="7"/>
      <c r="I44" s="7"/>
      <c r="J44" s="7"/>
      <c r="K44" s="49">
        <v>150000</v>
      </c>
      <c r="L44" s="7"/>
      <c r="M44" s="7"/>
      <c r="N44" s="7"/>
      <c r="O44" s="7"/>
      <c r="P44" s="7"/>
      <c r="Q44" s="7"/>
      <c r="R44" s="7"/>
      <c r="S44" s="81">
        <f>(Table143891011[[#This Row],[Commercial Bid Price per case for NOI ($)]]-Table143891011[[#This Row],[Pass-Thru Value per case ($)]])+Table143891011[[#This Row],[Region 1: Fixed Fee Per Case ($)]]</f>
        <v>0</v>
      </c>
      <c r="T44" s="77" t="e">
        <f>(Table143891011[[#This Row],[Commercial Bid Price per case for NOI ($)]]+Table143891011[[#This Row],[Region 1: Fixed Fee Per Case ($)]])/Table143891011[[#This Row],['# of CN Servings per case]]</f>
        <v>#DIV/0!</v>
      </c>
      <c r="U44" s="77" t="e">
        <f>Table143891011[[#This Row],[Total Cost Per Serving (O+P)/J]]*Table143891011[[#This Row],[Estimated Servings Annual]]</f>
        <v>#DIV/0!</v>
      </c>
      <c r="V44" s="81">
        <f>(Table143891011[[#This Row],[Commercial Bid Price per case for NOI ($)]]-Table143891011[[#This Row],[Pass-Thru Value per case ($)]])+Table143891011[[#This Row],[Region 2: Fixed Fee Per Case ($)]]</f>
        <v>0</v>
      </c>
      <c r="W44" s="77" t="e">
        <f>(Table143891011[[#This Row],[Commercial Bid Price per case for NOI ($)]]+Table143891011[[#This Row],[Region 2: Fixed Fee Per Case ($)]])/Table143891011[[#This Row],['# of CN Servings per case]]</f>
        <v>#DIV/0!</v>
      </c>
      <c r="X44" s="82" t="e">
        <f>Table143891011[[#This Row],[Total Cost Per Serving (O+Q)/J]]*Table143891011[[#This Row],[Estimated Servings Annual]]</f>
        <v>#DIV/0!</v>
      </c>
    </row>
    <row r="45" spans="1:24" x14ac:dyDescent="0.35">
      <c r="A45" s="30" t="s">
        <v>171</v>
      </c>
      <c r="B45" s="12" t="s">
        <v>177</v>
      </c>
      <c r="C45" s="7" t="s">
        <v>181</v>
      </c>
      <c r="D45" s="7"/>
      <c r="E45" s="7"/>
      <c r="F45" s="7"/>
      <c r="G45" s="7"/>
      <c r="H45" s="7"/>
      <c r="I45" s="7"/>
      <c r="J45" s="7"/>
      <c r="K45" s="49">
        <v>150000</v>
      </c>
      <c r="L45" s="7"/>
      <c r="M45" s="7"/>
      <c r="N45" s="7"/>
      <c r="O45" s="7"/>
      <c r="P45" s="7"/>
      <c r="Q45" s="7"/>
      <c r="R45" s="7"/>
      <c r="S45" s="81">
        <f>(Table143891011[[#This Row],[Commercial Bid Price per case for NOI ($)]]-Table143891011[[#This Row],[Pass-Thru Value per case ($)]])+Table143891011[[#This Row],[Region 1: Fixed Fee Per Case ($)]]</f>
        <v>0</v>
      </c>
      <c r="T45" s="77" t="e">
        <f>(Table143891011[[#This Row],[Commercial Bid Price per case for NOI ($)]]+Table143891011[[#This Row],[Region 1: Fixed Fee Per Case ($)]])/Table143891011[[#This Row],['# of CN Servings per case]]</f>
        <v>#DIV/0!</v>
      </c>
      <c r="U45" s="77" t="e">
        <f>Table143891011[[#This Row],[Total Cost Per Serving (O+P)/J]]*Table143891011[[#This Row],[Estimated Servings Annual]]</f>
        <v>#DIV/0!</v>
      </c>
      <c r="V45" s="81">
        <f>(Table143891011[[#This Row],[Commercial Bid Price per case for NOI ($)]]-Table143891011[[#This Row],[Pass-Thru Value per case ($)]])+Table143891011[[#This Row],[Region 2: Fixed Fee Per Case ($)]]</f>
        <v>0</v>
      </c>
      <c r="W45" s="77" t="e">
        <f>(Table143891011[[#This Row],[Commercial Bid Price per case for NOI ($)]]+Table143891011[[#This Row],[Region 2: Fixed Fee Per Case ($)]])/Table143891011[[#This Row],['# of CN Servings per case]]</f>
        <v>#DIV/0!</v>
      </c>
      <c r="X45" s="82" t="e">
        <f>Table143891011[[#This Row],[Total Cost Per Serving (O+Q)/J]]*Table143891011[[#This Row],[Estimated Servings Annual]]</f>
        <v>#DIV/0!</v>
      </c>
    </row>
    <row r="46" spans="1:24" x14ac:dyDescent="0.35">
      <c r="A46" s="30" t="s">
        <v>171</v>
      </c>
      <c r="B46" s="12" t="s">
        <v>177</v>
      </c>
      <c r="C46" s="7" t="s">
        <v>181</v>
      </c>
      <c r="D46" s="7"/>
      <c r="E46" s="7"/>
      <c r="F46" s="7"/>
      <c r="G46" s="7"/>
      <c r="H46" s="7"/>
      <c r="I46" s="7"/>
      <c r="J46" s="7"/>
      <c r="K46" s="49">
        <v>150000</v>
      </c>
      <c r="L46" s="7"/>
      <c r="M46" s="7"/>
      <c r="N46" s="7"/>
      <c r="O46" s="7"/>
      <c r="P46" s="7"/>
      <c r="Q46" s="7"/>
      <c r="R46" s="7"/>
      <c r="S46" s="81">
        <f>(Table143891011[[#This Row],[Commercial Bid Price per case for NOI ($)]]-Table143891011[[#This Row],[Pass-Thru Value per case ($)]])+Table143891011[[#This Row],[Region 1: Fixed Fee Per Case ($)]]</f>
        <v>0</v>
      </c>
      <c r="T46" s="77" t="e">
        <f>(Table143891011[[#This Row],[Commercial Bid Price per case for NOI ($)]]+Table143891011[[#This Row],[Region 1: Fixed Fee Per Case ($)]])/Table143891011[[#This Row],['# of CN Servings per case]]</f>
        <v>#DIV/0!</v>
      </c>
      <c r="U46" s="77" t="e">
        <f>Table143891011[[#This Row],[Total Cost Per Serving (O+P)/J]]*Table143891011[[#This Row],[Estimated Servings Annual]]</f>
        <v>#DIV/0!</v>
      </c>
      <c r="V46" s="81">
        <f>(Table143891011[[#This Row],[Commercial Bid Price per case for NOI ($)]]-Table143891011[[#This Row],[Pass-Thru Value per case ($)]])+Table143891011[[#This Row],[Region 2: Fixed Fee Per Case ($)]]</f>
        <v>0</v>
      </c>
      <c r="W46" s="77" t="e">
        <f>(Table143891011[[#This Row],[Commercial Bid Price per case for NOI ($)]]+Table143891011[[#This Row],[Region 2: Fixed Fee Per Case ($)]])/Table143891011[[#This Row],['# of CN Servings per case]]</f>
        <v>#DIV/0!</v>
      </c>
      <c r="X46" s="82" t="e">
        <f>Table143891011[[#This Row],[Total Cost Per Serving (O+Q)/J]]*Table143891011[[#This Row],[Estimated Servings Annual]]</f>
        <v>#DIV/0!</v>
      </c>
    </row>
    <row r="47" spans="1:24" x14ac:dyDescent="0.35">
      <c r="A47" s="30" t="s">
        <v>171</v>
      </c>
      <c r="B47" s="12" t="s">
        <v>177</v>
      </c>
      <c r="C47" s="7" t="s">
        <v>13</v>
      </c>
      <c r="D47" s="7"/>
      <c r="E47" s="7"/>
      <c r="F47" s="7"/>
      <c r="G47" s="7"/>
      <c r="H47" s="7"/>
      <c r="I47" s="7"/>
      <c r="J47" s="7"/>
      <c r="K47" s="49">
        <v>150000</v>
      </c>
      <c r="L47" s="7"/>
      <c r="M47" s="7"/>
      <c r="N47" s="7"/>
      <c r="O47" s="7"/>
      <c r="P47" s="7"/>
      <c r="Q47" s="7"/>
      <c r="R47" s="7"/>
      <c r="S47" s="81">
        <f>(Table143891011[[#This Row],[Commercial Bid Price per case for NOI ($)]]-Table143891011[[#This Row],[Pass-Thru Value per case ($)]])+Table143891011[[#This Row],[Region 1: Fixed Fee Per Case ($)]]</f>
        <v>0</v>
      </c>
      <c r="T47" s="77" t="e">
        <f>(Table143891011[[#This Row],[Commercial Bid Price per case for NOI ($)]]+Table143891011[[#This Row],[Region 1: Fixed Fee Per Case ($)]])/Table143891011[[#This Row],['# of CN Servings per case]]</f>
        <v>#DIV/0!</v>
      </c>
      <c r="U47" s="77" t="e">
        <f>Table143891011[[#This Row],[Total Cost Per Serving (O+P)/J]]*Table143891011[[#This Row],[Estimated Servings Annual]]</f>
        <v>#DIV/0!</v>
      </c>
      <c r="V47" s="81">
        <f>(Table143891011[[#This Row],[Commercial Bid Price per case for NOI ($)]]-Table143891011[[#This Row],[Pass-Thru Value per case ($)]])+Table143891011[[#This Row],[Region 2: Fixed Fee Per Case ($)]]</f>
        <v>0</v>
      </c>
      <c r="W47" s="77" t="e">
        <f>(Table143891011[[#This Row],[Commercial Bid Price per case for NOI ($)]]+Table143891011[[#This Row],[Region 2: Fixed Fee Per Case ($)]])/Table143891011[[#This Row],['# of CN Servings per case]]</f>
        <v>#DIV/0!</v>
      </c>
      <c r="X47" s="82" t="e">
        <f>Table143891011[[#This Row],[Total Cost Per Serving (O+Q)/J]]*Table143891011[[#This Row],[Estimated Servings Annual]]</f>
        <v>#DIV/0!</v>
      </c>
    </row>
    <row r="48" spans="1:24" x14ac:dyDescent="0.35">
      <c r="A48" s="30" t="s">
        <v>171</v>
      </c>
      <c r="B48" s="12" t="s">
        <v>177</v>
      </c>
      <c r="C48" s="7" t="s">
        <v>13</v>
      </c>
      <c r="D48" s="7"/>
      <c r="E48" s="7"/>
      <c r="F48" s="7"/>
      <c r="G48" s="7"/>
      <c r="H48" s="7"/>
      <c r="I48" s="7"/>
      <c r="J48" s="7"/>
      <c r="K48" s="49">
        <v>150000</v>
      </c>
      <c r="L48" s="7"/>
      <c r="M48" s="7"/>
      <c r="N48" s="7"/>
      <c r="O48" s="7"/>
      <c r="P48" s="7"/>
      <c r="Q48" s="7"/>
      <c r="R48" s="7"/>
      <c r="S48" s="81">
        <f>(Table143891011[[#This Row],[Commercial Bid Price per case for NOI ($)]]-Table143891011[[#This Row],[Pass-Thru Value per case ($)]])+Table143891011[[#This Row],[Region 1: Fixed Fee Per Case ($)]]</f>
        <v>0</v>
      </c>
      <c r="T48" s="77" t="e">
        <f>(Table143891011[[#This Row],[Commercial Bid Price per case for NOI ($)]]+Table143891011[[#This Row],[Region 1: Fixed Fee Per Case ($)]])/Table143891011[[#This Row],['# of CN Servings per case]]</f>
        <v>#DIV/0!</v>
      </c>
      <c r="U48" s="77" t="e">
        <f>Table143891011[[#This Row],[Total Cost Per Serving (O+P)/J]]*Table143891011[[#This Row],[Estimated Servings Annual]]</f>
        <v>#DIV/0!</v>
      </c>
      <c r="V48" s="81">
        <f>(Table143891011[[#This Row],[Commercial Bid Price per case for NOI ($)]]-Table143891011[[#This Row],[Pass-Thru Value per case ($)]])+Table143891011[[#This Row],[Region 2: Fixed Fee Per Case ($)]]</f>
        <v>0</v>
      </c>
      <c r="W48" s="77" t="e">
        <f>(Table143891011[[#This Row],[Commercial Bid Price per case for NOI ($)]]+Table143891011[[#This Row],[Region 2: Fixed Fee Per Case ($)]])/Table143891011[[#This Row],['# of CN Servings per case]]</f>
        <v>#DIV/0!</v>
      </c>
      <c r="X48" s="82" t="e">
        <f>Table143891011[[#This Row],[Total Cost Per Serving (O+Q)/J]]*Table143891011[[#This Row],[Estimated Servings Annual]]</f>
        <v>#DIV/0!</v>
      </c>
    </row>
    <row r="49" spans="1:24" x14ac:dyDescent="0.35">
      <c r="A49" s="30" t="s">
        <v>171</v>
      </c>
      <c r="B49" s="12" t="s">
        <v>177</v>
      </c>
      <c r="C49" s="7" t="s">
        <v>13</v>
      </c>
      <c r="D49" s="7"/>
      <c r="E49" s="7"/>
      <c r="F49" s="7"/>
      <c r="G49" s="7"/>
      <c r="H49" s="7"/>
      <c r="I49" s="7"/>
      <c r="J49" s="7"/>
      <c r="K49" s="49">
        <v>150000</v>
      </c>
      <c r="L49" s="7"/>
      <c r="M49" s="7"/>
      <c r="N49" s="7"/>
      <c r="O49" s="7"/>
      <c r="P49" s="7"/>
      <c r="Q49" s="7"/>
      <c r="R49" s="7"/>
      <c r="S49" s="81">
        <f>(Table143891011[[#This Row],[Commercial Bid Price per case for NOI ($)]]-Table143891011[[#This Row],[Pass-Thru Value per case ($)]])+Table143891011[[#This Row],[Region 1: Fixed Fee Per Case ($)]]</f>
        <v>0</v>
      </c>
      <c r="T49" s="77" t="e">
        <f>(Table143891011[[#This Row],[Commercial Bid Price per case for NOI ($)]]+Table143891011[[#This Row],[Region 1: Fixed Fee Per Case ($)]])/Table143891011[[#This Row],['# of CN Servings per case]]</f>
        <v>#DIV/0!</v>
      </c>
      <c r="U49" s="77" t="e">
        <f>Table143891011[[#This Row],[Total Cost Per Serving (O+P)/J]]*Table143891011[[#This Row],[Estimated Servings Annual]]</f>
        <v>#DIV/0!</v>
      </c>
      <c r="V49" s="81">
        <f>(Table143891011[[#This Row],[Commercial Bid Price per case for NOI ($)]]-Table143891011[[#This Row],[Pass-Thru Value per case ($)]])+Table143891011[[#This Row],[Region 2: Fixed Fee Per Case ($)]]</f>
        <v>0</v>
      </c>
      <c r="W49" s="77" t="e">
        <f>(Table143891011[[#This Row],[Commercial Bid Price per case for NOI ($)]]+Table143891011[[#This Row],[Region 2: Fixed Fee Per Case ($)]])/Table143891011[[#This Row],['# of CN Servings per case]]</f>
        <v>#DIV/0!</v>
      </c>
      <c r="X49" s="82" t="e">
        <f>Table143891011[[#This Row],[Total Cost Per Serving (O+Q)/J]]*Table143891011[[#This Row],[Estimated Servings Annual]]</f>
        <v>#DIV/0!</v>
      </c>
    </row>
    <row r="50" spans="1:24" ht="15" thickBot="1" x14ac:dyDescent="0.4">
      <c r="A50" s="30" t="s">
        <v>171</v>
      </c>
      <c r="B50" s="12" t="s">
        <v>177</v>
      </c>
      <c r="C50" s="8" t="s">
        <v>13</v>
      </c>
      <c r="D50" s="8"/>
      <c r="E50" s="8"/>
      <c r="F50" s="8"/>
      <c r="G50" s="8"/>
      <c r="H50" s="8"/>
      <c r="I50" s="8"/>
      <c r="J50" s="8"/>
      <c r="K50" s="50">
        <v>150000</v>
      </c>
      <c r="L50" s="8"/>
      <c r="M50" s="8"/>
      <c r="N50" s="8"/>
      <c r="O50" s="8"/>
      <c r="P50" s="8"/>
      <c r="Q50" s="8"/>
      <c r="R50" s="8"/>
      <c r="S50" s="83">
        <f>(Table143891011[[#This Row],[Commercial Bid Price per case for NOI ($)]]-Table143891011[[#This Row],[Pass-Thru Value per case ($)]])+Table143891011[[#This Row],[Region 1: Fixed Fee Per Case ($)]]</f>
        <v>0</v>
      </c>
      <c r="T50" s="78" t="e">
        <f>(Table143891011[[#This Row],[Commercial Bid Price per case for NOI ($)]]+Table143891011[[#This Row],[Region 1: Fixed Fee Per Case ($)]])/Table143891011[[#This Row],['# of CN Servings per case]]</f>
        <v>#DIV/0!</v>
      </c>
      <c r="U50" s="78" t="e">
        <f>Table143891011[[#This Row],[Total Cost Per Serving (O+P)/J]]*Table143891011[[#This Row],[Estimated Servings Annual]]</f>
        <v>#DIV/0!</v>
      </c>
      <c r="V50" s="83">
        <f>(Table143891011[[#This Row],[Commercial Bid Price per case for NOI ($)]]-Table143891011[[#This Row],[Pass-Thru Value per case ($)]])+Table143891011[[#This Row],[Region 2: Fixed Fee Per Case ($)]]</f>
        <v>0</v>
      </c>
      <c r="W50" s="78" t="e">
        <f>(Table143891011[[#This Row],[Commercial Bid Price per case for NOI ($)]]+Table143891011[[#This Row],[Region 2: Fixed Fee Per Case ($)]])/Table143891011[[#This Row],['# of CN Servings per case]]</f>
        <v>#DIV/0!</v>
      </c>
      <c r="X50" s="84" t="e">
        <f>Table143891011[[#This Row],[Total Cost Per Serving (O+Q)/J]]*Table143891011[[#This Row],[Estimated Servings Annual]]</f>
        <v>#DIV/0!</v>
      </c>
    </row>
    <row r="51" spans="1:24" x14ac:dyDescent="0.35">
      <c r="A51" s="30" t="s">
        <v>171</v>
      </c>
      <c r="B51" s="11" t="s">
        <v>178</v>
      </c>
      <c r="C51" s="6" t="s">
        <v>180</v>
      </c>
      <c r="D51" s="6"/>
      <c r="E51" s="6"/>
      <c r="F51" s="6"/>
      <c r="G51" s="6"/>
      <c r="H51" s="6"/>
      <c r="I51" s="6"/>
      <c r="J51" s="6"/>
      <c r="K51" s="48">
        <v>200000</v>
      </c>
      <c r="L51" s="6"/>
      <c r="M51" s="6"/>
      <c r="N51" s="6"/>
      <c r="O51" s="6"/>
      <c r="P51" s="6"/>
      <c r="Q51" s="6"/>
      <c r="R51" s="6"/>
      <c r="S51" s="79">
        <f>(Table143891011[[#This Row],[Commercial Bid Price per case for NOI ($)]]-Table143891011[[#This Row],[Pass-Thru Value per case ($)]])+Table143891011[[#This Row],[Region 1: Fixed Fee Per Case ($)]]</f>
        <v>0</v>
      </c>
      <c r="T51" s="76" t="e">
        <f>(Table143891011[[#This Row],[Commercial Bid Price per case for NOI ($)]]+Table143891011[[#This Row],[Region 1: Fixed Fee Per Case ($)]])/Table143891011[[#This Row],['# of CN Servings per case]]</f>
        <v>#DIV/0!</v>
      </c>
      <c r="U51" s="76" t="e">
        <f>Table143891011[[#This Row],[Total Cost Per Serving (O+P)/J]]*Table143891011[[#This Row],[Estimated Servings Annual]]</f>
        <v>#DIV/0!</v>
      </c>
      <c r="V51" s="79">
        <f>(Table143891011[[#This Row],[Commercial Bid Price per case for NOI ($)]]-Table143891011[[#This Row],[Pass-Thru Value per case ($)]])+Table143891011[[#This Row],[Region 2: Fixed Fee Per Case ($)]]</f>
        <v>0</v>
      </c>
      <c r="W51" s="76" t="e">
        <f>(Table143891011[[#This Row],[Commercial Bid Price per case for NOI ($)]]+Table143891011[[#This Row],[Region 2: Fixed Fee Per Case ($)]])/Table143891011[[#This Row],['# of CN Servings per case]]</f>
        <v>#DIV/0!</v>
      </c>
      <c r="X51" s="80" t="e">
        <f>Table143891011[[#This Row],[Total Cost Per Serving (O+Q)/J]]*Table143891011[[#This Row],[Estimated Servings Annual]]</f>
        <v>#DIV/0!</v>
      </c>
    </row>
    <row r="52" spans="1:24" x14ac:dyDescent="0.35">
      <c r="A52" s="30" t="s">
        <v>171</v>
      </c>
      <c r="B52" s="12" t="s">
        <v>178</v>
      </c>
      <c r="C52" s="7" t="s">
        <v>180</v>
      </c>
      <c r="D52" s="7"/>
      <c r="E52" s="7"/>
      <c r="F52" s="7"/>
      <c r="G52" s="7"/>
      <c r="H52" s="7"/>
      <c r="I52" s="7"/>
      <c r="J52" s="7"/>
      <c r="K52" s="49">
        <v>200000</v>
      </c>
      <c r="L52" s="7"/>
      <c r="M52" s="7"/>
      <c r="N52" s="7"/>
      <c r="O52" s="7"/>
      <c r="P52" s="7"/>
      <c r="Q52" s="7"/>
      <c r="R52" s="7"/>
      <c r="S52" s="81">
        <f>(Table143891011[[#This Row],[Commercial Bid Price per case for NOI ($)]]-Table143891011[[#This Row],[Pass-Thru Value per case ($)]])+Table143891011[[#This Row],[Region 1: Fixed Fee Per Case ($)]]</f>
        <v>0</v>
      </c>
      <c r="T52" s="77" t="e">
        <f>(Table143891011[[#This Row],[Commercial Bid Price per case for NOI ($)]]+Table143891011[[#This Row],[Region 1: Fixed Fee Per Case ($)]])/Table143891011[[#This Row],['# of CN Servings per case]]</f>
        <v>#DIV/0!</v>
      </c>
      <c r="U52" s="77" t="e">
        <f>Table143891011[[#This Row],[Total Cost Per Serving (O+P)/J]]*Table143891011[[#This Row],[Estimated Servings Annual]]</f>
        <v>#DIV/0!</v>
      </c>
      <c r="V52" s="81">
        <f>(Table143891011[[#This Row],[Commercial Bid Price per case for NOI ($)]]-Table143891011[[#This Row],[Pass-Thru Value per case ($)]])+Table143891011[[#This Row],[Region 2: Fixed Fee Per Case ($)]]</f>
        <v>0</v>
      </c>
      <c r="W52" s="77" t="e">
        <f>(Table143891011[[#This Row],[Commercial Bid Price per case for NOI ($)]]+Table143891011[[#This Row],[Region 2: Fixed Fee Per Case ($)]])/Table143891011[[#This Row],['# of CN Servings per case]]</f>
        <v>#DIV/0!</v>
      </c>
      <c r="X52" s="82" t="e">
        <f>Table143891011[[#This Row],[Total Cost Per Serving (O+Q)/J]]*Table143891011[[#This Row],[Estimated Servings Annual]]</f>
        <v>#DIV/0!</v>
      </c>
    </row>
    <row r="53" spans="1:24" x14ac:dyDescent="0.35">
      <c r="A53" s="30" t="s">
        <v>171</v>
      </c>
      <c r="B53" s="12" t="s">
        <v>178</v>
      </c>
      <c r="C53" s="7" t="s">
        <v>181</v>
      </c>
      <c r="D53" s="7"/>
      <c r="E53" s="7"/>
      <c r="F53" s="7"/>
      <c r="G53" s="7"/>
      <c r="H53" s="7"/>
      <c r="I53" s="7"/>
      <c r="J53" s="7"/>
      <c r="K53" s="49">
        <v>200000</v>
      </c>
      <c r="L53" s="7"/>
      <c r="M53" s="7"/>
      <c r="N53" s="7"/>
      <c r="O53" s="7"/>
      <c r="P53" s="7"/>
      <c r="Q53" s="7"/>
      <c r="R53" s="7"/>
      <c r="S53" s="81">
        <f>(Table143891011[[#This Row],[Commercial Bid Price per case for NOI ($)]]-Table143891011[[#This Row],[Pass-Thru Value per case ($)]])+Table143891011[[#This Row],[Region 1: Fixed Fee Per Case ($)]]</f>
        <v>0</v>
      </c>
      <c r="T53" s="77" t="e">
        <f>(Table143891011[[#This Row],[Commercial Bid Price per case for NOI ($)]]+Table143891011[[#This Row],[Region 1: Fixed Fee Per Case ($)]])/Table143891011[[#This Row],['# of CN Servings per case]]</f>
        <v>#DIV/0!</v>
      </c>
      <c r="U53" s="77" t="e">
        <f>Table143891011[[#This Row],[Total Cost Per Serving (O+P)/J]]*Table143891011[[#This Row],[Estimated Servings Annual]]</f>
        <v>#DIV/0!</v>
      </c>
      <c r="V53" s="81">
        <f>(Table143891011[[#This Row],[Commercial Bid Price per case for NOI ($)]]-Table143891011[[#This Row],[Pass-Thru Value per case ($)]])+Table143891011[[#This Row],[Region 2: Fixed Fee Per Case ($)]]</f>
        <v>0</v>
      </c>
      <c r="W53" s="77" t="e">
        <f>(Table143891011[[#This Row],[Commercial Bid Price per case for NOI ($)]]+Table143891011[[#This Row],[Region 2: Fixed Fee Per Case ($)]])/Table143891011[[#This Row],['# of CN Servings per case]]</f>
        <v>#DIV/0!</v>
      </c>
      <c r="X53" s="82" t="e">
        <f>Table143891011[[#This Row],[Total Cost Per Serving (O+Q)/J]]*Table143891011[[#This Row],[Estimated Servings Annual]]</f>
        <v>#DIV/0!</v>
      </c>
    </row>
    <row r="54" spans="1:24" x14ac:dyDescent="0.35">
      <c r="A54" s="30" t="s">
        <v>171</v>
      </c>
      <c r="B54" s="12" t="s">
        <v>178</v>
      </c>
      <c r="C54" s="7" t="s">
        <v>181</v>
      </c>
      <c r="D54" s="7"/>
      <c r="E54" s="7"/>
      <c r="F54" s="7"/>
      <c r="G54" s="7"/>
      <c r="H54" s="7"/>
      <c r="I54" s="7"/>
      <c r="J54" s="7"/>
      <c r="K54" s="49">
        <v>200000</v>
      </c>
      <c r="L54" s="7"/>
      <c r="M54" s="7"/>
      <c r="N54" s="7"/>
      <c r="O54" s="7"/>
      <c r="P54" s="7"/>
      <c r="Q54" s="7"/>
      <c r="R54" s="7"/>
      <c r="S54" s="81">
        <f>(Table143891011[[#This Row],[Commercial Bid Price per case for NOI ($)]]-Table143891011[[#This Row],[Pass-Thru Value per case ($)]])+Table143891011[[#This Row],[Region 1: Fixed Fee Per Case ($)]]</f>
        <v>0</v>
      </c>
      <c r="T54" s="77" t="e">
        <f>(Table143891011[[#This Row],[Commercial Bid Price per case for NOI ($)]]+Table143891011[[#This Row],[Region 1: Fixed Fee Per Case ($)]])/Table143891011[[#This Row],['# of CN Servings per case]]</f>
        <v>#DIV/0!</v>
      </c>
      <c r="U54" s="77" t="e">
        <f>Table143891011[[#This Row],[Total Cost Per Serving (O+P)/J]]*Table143891011[[#This Row],[Estimated Servings Annual]]</f>
        <v>#DIV/0!</v>
      </c>
      <c r="V54" s="81">
        <f>(Table143891011[[#This Row],[Commercial Bid Price per case for NOI ($)]]-Table143891011[[#This Row],[Pass-Thru Value per case ($)]])+Table143891011[[#This Row],[Region 2: Fixed Fee Per Case ($)]]</f>
        <v>0</v>
      </c>
      <c r="W54" s="77" t="e">
        <f>(Table143891011[[#This Row],[Commercial Bid Price per case for NOI ($)]]+Table143891011[[#This Row],[Region 2: Fixed Fee Per Case ($)]])/Table143891011[[#This Row],['# of CN Servings per case]]</f>
        <v>#DIV/0!</v>
      </c>
      <c r="X54" s="82" t="e">
        <f>Table143891011[[#This Row],[Total Cost Per Serving (O+Q)/J]]*Table143891011[[#This Row],[Estimated Servings Annual]]</f>
        <v>#DIV/0!</v>
      </c>
    </row>
    <row r="55" spans="1:24" x14ac:dyDescent="0.35">
      <c r="A55" s="30" t="s">
        <v>171</v>
      </c>
      <c r="B55" s="12" t="s">
        <v>178</v>
      </c>
      <c r="C55" s="7" t="s">
        <v>13</v>
      </c>
      <c r="D55" s="7"/>
      <c r="E55" s="7"/>
      <c r="F55" s="7"/>
      <c r="G55" s="7"/>
      <c r="H55" s="7"/>
      <c r="I55" s="7"/>
      <c r="J55" s="7"/>
      <c r="K55" s="49">
        <v>200000</v>
      </c>
      <c r="L55" s="7"/>
      <c r="M55" s="7"/>
      <c r="N55" s="7"/>
      <c r="O55" s="7"/>
      <c r="P55" s="7"/>
      <c r="Q55" s="7"/>
      <c r="R55" s="7"/>
      <c r="S55" s="81">
        <f>(Table143891011[[#This Row],[Commercial Bid Price per case for NOI ($)]]-Table143891011[[#This Row],[Pass-Thru Value per case ($)]])+Table143891011[[#This Row],[Region 1: Fixed Fee Per Case ($)]]</f>
        <v>0</v>
      </c>
      <c r="T55" s="77" t="e">
        <f>(Table143891011[[#This Row],[Commercial Bid Price per case for NOI ($)]]+Table143891011[[#This Row],[Region 1: Fixed Fee Per Case ($)]])/Table143891011[[#This Row],['# of CN Servings per case]]</f>
        <v>#DIV/0!</v>
      </c>
      <c r="U55" s="77" t="e">
        <f>Table143891011[[#This Row],[Total Cost Per Serving (O+P)/J]]*Table143891011[[#This Row],[Estimated Servings Annual]]</f>
        <v>#DIV/0!</v>
      </c>
      <c r="V55" s="81">
        <f>(Table143891011[[#This Row],[Commercial Bid Price per case for NOI ($)]]-Table143891011[[#This Row],[Pass-Thru Value per case ($)]])+Table143891011[[#This Row],[Region 2: Fixed Fee Per Case ($)]]</f>
        <v>0</v>
      </c>
      <c r="W55" s="77" t="e">
        <f>(Table143891011[[#This Row],[Commercial Bid Price per case for NOI ($)]]+Table143891011[[#This Row],[Region 2: Fixed Fee Per Case ($)]])/Table143891011[[#This Row],['# of CN Servings per case]]</f>
        <v>#DIV/0!</v>
      </c>
      <c r="X55" s="82" t="e">
        <f>Table143891011[[#This Row],[Total Cost Per Serving (O+Q)/J]]*Table143891011[[#This Row],[Estimated Servings Annual]]</f>
        <v>#DIV/0!</v>
      </c>
    </row>
    <row r="56" spans="1:24" x14ac:dyDescent="0.35">
      <c r="A56" s="30" t="s">
        <v>171</v>
      </c>
      <c r="B56" s="12" t="s">
        <v>178</v>
      </c>
      <c r="C56" s="7" t="s">
        <v>13</v>
      </c>
      <c r="D56" s="7"/>
      <c r="E56" s="7"/>
      <c r="F56" s="7"/>
      <c r="G56" s="7"/>
      <c r="H56" s="7"/>
      <c r="I56" s="7"/>
      <c r="J56" s="7"/>
      <c r="K56" s="49">
        <v>200000</v>
      </c>
      <c r="L56" s="7"/>
      <c r="M56" s="7"/>
      <c r="N56" s="7"/>
      <c r="O56" s="7"/>
      <c r="P56" s="7"/>
      <c r="Q56" s="7"/>
      <c r="R56" s="7"/>
      <c r="S56" s="81">
        <f>(Table143891011[[#This Row],[Commercial Bid Price per case for NOI ($)]]-Table143891011[[#This Row],[Pass-Thru Value per case ($)]])+Table143891011[[#This Row],[Region 1: Fixed Fee Per Case ($)]]</f>
        <v>0</v>
      </c>
      <c r="T56" s="77" t="e">
        <f>(Table143891011[[#This Row],[Commercial Bid Price per case for NOI ($)]]+Table143891011[[#This Row],[Region 1: Fixed Fee Per Case ($)]])/Table143891011[[#This Row],['# of CN Servings per case]]</f>
        <v>#DIV/0!</v>
      </c>
      <c r="U56" s="77" t="e">
        <f>Table143891011[[#This Row],[Total Cost Per Serving (O+P)/J]]*Table143891011[[#This Row],[Estimated Servings Annual]]</f>
        <v>#DIV/0!</v>
      </c>
      <c r="V56" s="81">
        <f>(Table143891011[[#This Row],[Commercial Bid Price per case for NOI ($)]]-Table143891011[[#This Row],[Pass-Thru Value per case ($)]])+Table143891011[[#This Row],[Region 2: Fixed Fee Per Case ($)]]</f>
        <v>0</v>
      </c>
      <c r="W56" s="77" t="e">
        <f>(Table143891011[[#This Row],[Commercial Bid Price per case for NOI ($)]]+Table143891011[[#This Row],[Region 2: Fixed Fee Per Case ($)]])/Table143891011[[#This Row],['# of CN Servings per case]]</f>
        <v>#DIV/0!</v>
      </c>
      <c r="X56" s="82" t="e">
        <f>Table143891011[[#This Row],[Total Cost Per Serving (O+Q)/J]]*Table143891011[[#This Row],[Estimated Servings Annual]]</f>
        <v>#DIV/0!</v>
      </c>
    </row>
    <row r="57" spans="1:24" x14ac:dyDescent="0.35">
      <c r="A57" s="30" t="s">
        <v>171</v>
      </c>
      <c r="B57" s="12" t="s">
        <v>178</v>
      </c>
      <c r="C57" s="7" t="s">
        <v>13</v>
      </c>
      <c r="D57" s="7"/>
      <c r="E57" s="7"/>
      <c r="F57" s="7"/>
      <c r="G57" s="7"/>
      <c r="H57" s="7"/>
      <c r="I57" s="7"/>
      <c r="J57" s="7"/>
      <c r="K57" s="49">
        <v>200000</v>
      </c>
      <c r="L57" s="7"/>
      <c r="M57" s="7"/>
      <c r="N57" s="7"/>
      <c r="O57" s="7"/>
      <c r="P57" s="7"/>
      <c r="Q57" s="7"/>
      <c r="R57" s="7"/>
      <c r="S57" s="81">
        <f>(Table143891011[[#This Row],[Commercial Bid Price per case for NOI ($)]]-Table143891011[[#This Row],[Pass-Thru Value per case ($)]])+Table143891011[[#This Row],[Region 1: Fixed Fee Per Case ($)]]</f>
        <v>0</v>
      </c>
      <c r="T57" s="77" t="e">
        <f>(Table143891011[[#This Row],[Commercial Bid Price per case for NOI ($)]]+Table143891011[[#This Row],[Region 1: Fixed Fee Per Case ($)]])/Table143891011[[#This Row],['# of CN Servings per case]]</f>
        <v>#DIV/0!</v>
      </c>
      <c r="U57" s="77" t="e">
        <f>Table143891011[[#This Row],[Total Cost Per Serving (O+P)/J]]*Table143891011[[#This Row],[Estimated Servings Annual]]</f>
        <v>#DIV/0!</v>
      </c>
      <c r="V57" s="81">
        <f>(Table143891011[[#This Row],[Commercial Bid Price per case for NOI ($)]]-Table143891011[[#This Row],[Pass-Thru Value per case ($)]])+Table143891011[[#This Row],[Region 2: Fixed Fee Per Case ($)]]</f>
        <v>0</v>
      </c>
      <c r="W57" s="77" t="e">
        <f>(Table143891011[[#This Row],[Commercial Bid Price per case for NOI ($)]]+Table143891011[[#This Row],[Region 2: Fixed Fee Per Case ($)]])/Table143891011[[#This Row],['# of CN Servings per case]]</f>
        <v>#DIV/0!</v>
      </c>
      <c r="X57" s="82" t="e">
        <f>Table143891011[[#This Row],[Total Cost Per Serving (O+Q)/J]]*Table143891011[[#This Row],[Estimated Servings Annual]]</f>
        <v>#DIV/0!</v>
      </c>
    </row>
    <row r="58" spans="1:24" ht="15" thickBot="1" x14ac:dyDescent="0.4">
      <c r="A58" s="30" t="s">
        <v>171</v>
      </c>
      <c r="B58" s="13" t="s">
        <v>178</v>
      </c>
      <c r="C58" s="8" t="s">
        <v>13</v>
      </c>
      <c r="D58" s="8"/>
      <c r="E58" s="8"/>
      <c r="F58" s="8"/>
      <c r="G58" s="8"/>
      <c r="H58" s="8"/>
      <c r="I58" s="8"/>
      <c r="J58" s="8"/>
      <c r="K58" s="50">
        <v>200000</v>
      </c>
      <c r="L58" s="8"/>
      <c r="M58" s="8"/>
      <c r="N58" s="8"/>
      <c r="O58" s="8"/>
      <c r="P58" s="8"/>
      <c r="Q58" s="8"/>
      <c r="R58" s="8"/>
      <c r="S58" s="83">
        <f>(Table143891011[[#This Row],[Commercial Bid Price per case for NOI ($)]]-Table143891011[[#This Row],[Pass-Thru Value per case ($)]])+Table143891011[[#This Row],[Region 1: Fixed Fee Per Case ($)]]</f>
        <v>0</v>
      </c>
      <c r="T58" s="78" t="e">
        <f>(Table143891011[[#This Row],[Commercial Bid Price per case for NOI ($)]]+Table143891011[[#This Row],[Region 1: Fixed Fee Per Case ($)]])/Table143891011[[#This Row],['# of CN Servings per case]]</f>
        <v>#DIV/0!</v>
      </c>
      <c r="U58" s="78" t="e">
        <f>Table143891011[[#This Row],[Total Cost Per Serving (O+P)/J]]*Table143891011[[#This Row],[Estimated Servings Annual]]</f>
        <v>#DIV/0!</v>
      </c>
      <c r="V58" s="83">
        <f>(Table143891011[[#This Row],[Commercial Bid Price per case for NOI ($)]]-Table143891011[[#This Row],[Pass-Thru Value per case ($)]])+Table143891011[[#This Row],[Region 2: Fixed Fee Per Case ($)]]</f>
        <v>0</v>
      </c>
      <c r="W58" s="78" t="e">
        <f>(Table143891011[[#This Row],[Commercial Bid Price per case for NOI ($)]]+Table143891011[[#This Row],[Region 2: Fixed Fee Per Case ($)]])/Table143891011[[#This Row],['# of CN Servings per case]]</f>
        <v>#DIV/0!</v>
      </c>
      <c r="X58" s="84" t="e">
        <f>Table143891011[[#This Row],[Total Cost Per Serving (O+Q)/J]]*Table143891011[[#This Row],[Estimated Servings Annual]]</f>
        <v>#DIV/0!</v>
      </c>
    </row>
    <row r="59" spans="1:24" x14ac:dyDescent="0.35">
      <c r="A59" s="30" t="s">
        <v>171</v>
      </c>
      <c r="B59" s="37" t="s">
        <v>179</v>
      </c>
      <c r="C59" s="38" t="s">
        <v>180</v>
      </c>
      <c r="D59" s="38"/>
      <c r="E59" s="38"/>
      <c r="F59" s="38"/>
      <c r="G59" s="38"/>
      <c r="H59" s="38"/>
      <c r="I59" s="38"/>
      <c r="J59" s="38"/>
      <c r="K59" s="51">
        <v>100000</v>
      </c>
      <c r="L59" s="38"/>
      <c r="M59" s="38"/>
      <c r="N59" s="38"/>
      <c r="O59" s="38"/>
      <c r="P59" s="38"/>
      <c r="Q59" s="38"/>
      <c r="R59" s="38"/>
      <c r="S59" s="88">
        <f>(Table143891011[[#This Row],[Commercial Bid Price per case for NOI ($)]]-Table143891011[[#This Row],[Pass-Thru Value per case ($)]])+Table143891011[[#This Row],[Region 1: Fixed Fee Per Case ($)]]</f>
        <v>0</v>
      </c>
      <c r="T59" s="89" t="e">
        <f>(Table143891011[[#This Row],[Commercial Bid Price per case for NOI ($)]]+Table143891011[[#This Row],[Region 1: Fixed Fee Per Case ($)]])/Table143891011[[#This Row],['# of CN Servings per case]]</f>
        <v>#DIV/0!</v>
      </c>
      <c r="U59" s="89" t="e">
        <f>Table143891011[[#This Row],[Total Cost Per Serving (O+P)/J]]*Table143891011[[#This Row],[Estimated Servings Annual]]</f>
        <v>#DIV/0!</v>
      </c>
      <c r="V59" s="88">
        <f>(Table143891011[[#This Row],[Commercial Bid Price per case for NOI ($)]]-Table143891011[[#This Row],[Pass-Thru Value per case ($)]])+Table143891011[[#This Row],[Region 2: Fixed Fee Per Case ($)]]</f>
        <v>0</v>
      </c>
      <c r="W59" s="89" t="e">
        <f>(Table143891011[[#This Row],[Commercial Bid Price per case for NOI ($)]]+Table143891011[[#This Row],[Region 2: Fixed Fee Per Case ($)]])/Table143891011[[#This Row],['# of CN Servings per case]]</f>
        <v>#DIV/0!</v>
      </c>
      <c r="X59" s="89" t="e">
        <f>Table143891011[[#This Row],[Total Cost Per Serving (O+Q)/J]]*Table143891011[[#This Row],[Estimated Servings Annual]]</f>
        <v>#DIV/0!</v>
      </c>
    </row>
    <row r="60" spans="1:24" x14ac:dyDescent="0.35">
      <c r="A60" s="30" t="s">
        <v>171</v>
      </c>
      <c r="B60" s="37" t="s">
        <v>179</v>
      </c>
      <c r="C60" s="7" t="s">
        <v>180</v>
      </c>
      <c r="D60" s="7"/>
      <c r="E60" s="7"/>
      <c r="F60" s="7"/>
      <c r="G60" s="7"/>
      <c r="H60" s="7"/>
      <c r="I60" s="7"/>
      <c r="J60" s="7"/>
      <c r="K60" s="49">
        <v>100000</v>
      </c>
      <c r="L60" s="7"/>
      <c r="M60" s="7"/>
      <c r="N60" s="7"/>
      <c r="O60" s="7"/>
      <c r="P60" s="7"/>
      <c r="Q60" s="7"/>
      <c r="R60" s="7"/>
      <c r="S60" s="81">
        <f>(Table143891011[[#This Row],[Commercial Bid Price per case for NOI ($)]]-Table143891011[[#This Row],[Pass-Thru Value per case ($)]])+Table143891011[[#This Row],[Region 1: Fixed Fee Per Case ($)]]</f>
        <v>0</v>
      </c>
      <c r="T60" s="77" t="e">
        <f>(Table143891011[[#This Row],[Commercial Bid Price per case for NOI ($)]]+Table143891011[[#This Row],[Region 1: Fixed Fee Per Case ($)]])/Table143891011[[#This Row],['# of CN Servings per case]]</f>
        <v>#DIV/0!</v>
      </c>
      <c r="U60" s="77" t="e">
        <f>Table143891011[[#This Row],[Total Cost Per Serving (O+P)/J]]*Table143891011[[#This Row],[Estimated Servings Annual]]</f>
        <v>#DIV/0!</v>
      </c>
      <c r="V60" s="81">
        <f>(Table143891011[[#This Row],[Commercial Bid Price per case for NOI ($)]]-Table143891011[[#This Row],[Pass-Thru Value per case ($)]])+Table143891011[[#This Row],[Region 2: Fixed Fee Per Case ($)]]</f>
        <v>0</v>
      </c>
      <c r="W60" s="77" t="e">
        <f>(Table143891011[[#This Row],[Commercial Bid Price per case for NOI ($)]]+Table143891011[[#This Row],[Region 2: Fixed Fee Per Case ($)]])/Table143891011[[#This Row],['# of CN Servings per case]]</f>
        <v>#DIV/0!</v>
      </c>
      <c r="X60" s="77" t="e">
        <f>Table143891011[[#This Row],[Total Cost Per Serving (O+Q)/J]]*Table143891011[[#This Row],[Estimated Servings Annual]]</f>
        <v>#DIV/0!</v>
      </c>
    </row>
    <row r="61" spans="1:24" x14ac:dyDescent="0.35">
      <c r="A61" s="30" t="s">
        <v>171</v>
      </c>
      <c r="B61" s="37" t="s">
        <v>179</v>
      </c>
      <c r="C61" s="7" t="s">
        <v>181</v>
      </c>
      <c r="D61" s="7"/>
      <c r="E61" s="7"/>
      <c r="F61" s="7"/>
      <c r="G61" s="7"/>
      <c r="H61" s="7"/>
      <c r="I61" s="7"/>
      <c r="J61" s="7"/>
      <c r="K61" s="49">
        <v>100000</v>
      </c>
      <c r="L61" s="7"/>
      <c r="M61" s="7"/>
      <c r="N61" s="7"/>
      <c r="O61" s="7"/>
      <c r="P61" s="7"/>
      <c r="Q61" s="7"/>
      <c r="R61" s="7"/>
      <c r="S61" s="81">
        <f>(Table143891011[[#This Row],[Commercial Bid Price per case for NOI ($)]]-Table143891011[[#This Row],[Pass-Thru Value per case ($)]])+Table143891011[[#This Row],[Region 1: Fixed Fee Per Case ($)]]</f>
        <v>0</v>
      </c>
      <c r="T61" s="77" t="e">
        <f>(Table143891011[[#This Row],[Commercial Bid Price per case for NOI ($)]]+Table143891011[[#This Row],[Region 1: Fixed Fee Per Case ($)]])/Table143891011[[#This Row],['# of CN Servings per case]]</f>
        <v>#DIV/0!</v>
      </c>
      <c r="U61" s="77" t="e">
        <f>Table143891011[[#This Row],[Total Cost Per Serving (O+P)/J]]*Table143891011[[#This Row],[Estimated Servings Annual]]</f>
        <v>#DIV/0!</v>
      </c>
      <c r="V61" s="81">
        <f>(Table143891011[[#This Row],[Commercial Bid Price per case for NOI ($)]]-Table143891011[[#This Row],[Pass-Thru Value per case ($)]])+Table143891011[[#This Row],[Region 2: Fixed Fee Per Case ($)]]</f>
        <v>0</v>
      </c>
      <c r="W61" s="77" t="e">
        <f>(Table143891011[[#This Row],[Commercial Bid Price per case for NOI ($)]]+Table143891011[[#This Row],[Region 2: Fixed Fee Per Case ($)]])/Table143891011[[#This Row],['# of CN Servings per case]]</f>
        <v>#DIV/0!</v>
      </c>
      <c r="X61" s="77" t="e">
        <f>Table143891011[[#This Row],[Total Cost Per Serving (O+Q)/J]]*Table143891011[[#This Row],[Estimated Servings Annual]]</f>
        <v>#DIV/0!</v>
      </c>
    </row>
    <row r="62" spans="1:24" x14ac:dyDescent="0.35">
      <c r="A62" s="30" t="s">
        <v>171</v>
      </c>
      <c r="B62" s="37" t="s">
        <v>179</v>
      </c>
      <c r="C62" s="7" t="s">
        <v>181</v>
      </c>
      <c r="D62" s="7"/>
      <c r="E62" s="7"/>
      <c r="F62" s="7"/>
      <c r="G62" s="7"/>
      <c r="H62" s="7"/>
      <c r="I62" s="7"/>
      <c r="J62" s="7"/>
      <c r="K62" s="49">
        <v>100000</v>
      </c>
      <c r="L62" s="7"/>
      <c r="M62" s="7"/>
      <c r="N62" s="7"/>
      <c r="O62" s="7"/>
      <c r="P62" s="7"/>
      <c r="Q62" s="7"/>
      <c r="R62" s="7"/>
      <c r="S62" s="81">
        <f>(Table143891011[[#This Row],[Commercial Bid Price per case for NOI ($)]]-Table143891011[[#This Row],[Pass-Thru Value per case ($)]])+Table143891011[[#This Row],[Region 1: Fixed Fee Per Case ($)]]</f>
        <v>0</v>
      </c>
      <c r="T62" s="77" t="e">
        <f>(Table143891011[[#This Row],[Commercial Bid Price per case for NOI ($)]]+Table143891011[[#This Row],[Region 1: Fixed Fee Per Case ($)]])/Table143891011[[#This Row],['# of CN Servings per case]]</f>
        <v>#DIV/0!</v>
      </c>
      <c r="U62" s="77" t="e">
        <f>Table143891011[[#This Row],[Total Cost Per Serving (O+P)/J]]*Table143891011[[#This Row],[Estimated Servings Annual]]</f>
        <v>#DIV/0!</v>
      </c>
      <c r="V62" s="81">
        <f>(Table143891011[[#This Row],[Commercial Bid Price per case for NOI ($)]]-Table143891011[[#This Row],[Pass-Thru Value per case ($)]])+Table143891011[[#This Row],[Region 2: Fixed Fee Per Case ($)]]</f>
        <v>0</v>
      </c>
      <c r="W62" s="77" t="e">
        <f>(Table143891011[[#This Row],[Commercial Bid Price per case for NOI ($)]]+Table143891011[[#This Row],[Region 2: Fixed Fee Per Case ($)]])/Table143891011[[#This Row],['# of CN Servings per case]]</f>
        <v>#DIV/0!</v>
      </c>
      <c r="X62" s="77" t="e">
        <f>Table143891011[[#This Row],[Total Cost Per Serving (O+Q)/J]]*Table143891011[[#This Row],[Estimated Servings Annual]]</f>
        <v>#DIV/0!</v>
      </c>
    </row>
    <row r="63" spans="1:24" x14ac:dyDescent="0.35">
      <c r="A63" s="30" t="s">
        <v>171</v>
      </c>
      <c r="B63" s="37" t="s">
        <v>179</v>
      </c>
      <c r="C63" s="7" t="s">
        <v>13</v>
      </c>
      <c r="D63" s="7"/>
      <c r="E63" s="7"/>
      <c r="F63" s="7"/>
      <c r="G63" s="7"/>
      <c r="H63" s="7"/>
      <c r="I63" s="7"/>
      <c r="J63" s="7"/>
      <c r="K63" s="49">
        <v>100000</v>
      </c>
      <c r="L63" s="7"/>
      <c r="M63" s="7"/>
      <c r="N63" s="7"/>
      <c r="O63" s="7"/>
      <c r="P63" s="7"/>
      <c r="Q63" s="7"/>
      <c r="R63" s="7"/>
      <c r="S63" s="81">
        <f>(Table143891011[[#This Row],[Commercial Bid Price per case for NOI ($)]]-Table143891011[[#This Row],[Pass-Thru Value per case ($)]])+Table143891011[[#This Row],[Region 1: Fixed Fee Per Case ($)]]</f>
        <v>0</v>
      </c>
      <c r="T63" s="77" t="e">
        <f>(Table143891011[[#This Row],[Commercial Bid Price per case for NOI ($)]]+Table143891011[[#This Row],[Region 1: Fixed Fee Per Case ($)]])/Table143891011[[#This Row],['# of CN Servings per case]]</f>
        <v>#DIV/0!</v>
      </c>
      <c r="U63" s="77" t="e">
        <f>Table143891011[[#This Row],[Total Cost Per Serving (O+P)/J]]*Table143891011[[#This Row],[Estimated Servings Annual]]</f>
        <v>#DIV/0!</v>
      </c>
      <c r="V63" s="81">
        <f>(Table143891011[[#This Row],[Commercial Bid Price per case for NOI ($)]]-Table143891011[[#This Row],[Pass-Thru Value per case ($)]])+Table143891011[[#This Row],[Region 2: Fixed Fee Per Case ($)]]</f>
        <v>0</v>
      </c>
      <c r="W63" s="77" t="e">
        <f>(Table143891011[[#This Row],[Commercial Bid Price per case for NOI ($)]]+Table143891011[[#This Row],[Region 2: Fixed Fee Per Case ($)]])/Table143891011[[#This Row],['# of CN Servings per case]]</f>
        <v>#DIV/0!</v>
      </c>
      <c r="X63" s="77" t="e">
        <f>Table143891011[[#This Row],[Total Cost Per Serving (O+Q)/J]]*Table143891011[[#This Row],[Estimated Servings Annual]]</f>
        <v>#DIV/0!</v>
      </c>
    </row>
    <row r="64" spans="1:24" x14ac:dyDescent="0.35">
      <c r="A64" s="30" t="s">
        <v>171</v>
      </c>
      <c r="B64" s="37" t="s">
        <v>179</v>
      </c>
      <c r="C64" s="7" t="s">
        <v>13</v>
      </c>
      <c r="D64" s="7"/>
      <c r="E64" s="7"/>
      <c r="F64" s="7"/>
      <c r="G64" s="7"/>
      <c r="H64" s="7"/>
      <c r="I64" s="7"/>
      <c r="J64" s="7"/>
      <c r="K64" s="49">
        <v>100000</v>
      </c>
      <c r="L64" s="7"/>
      <c r="M64" s="7"/>
      <c r="N64" s="7"/>
      <c r="O64" s="7"/>
      <c r="P64" s="7"/>
      <c r="Q64" s="7"/>
      <c r="R64" s="7"/>
      <c r="S64" s="81">
        <f>(Table143891011[[#This Row],[Commercial Bid Price per case for NOI ($)]]-Table143891011[[#This Row],[Pass-Thru Value per case ($)]])+Table143891011[[#This Row],[Region 1: Fixed Fee Per Case ($)]]</f>
        <v>0</v>
      </c>
      <c r="T64" s="77" t="e">
        <f>(Table143891011[[#This Row],[Commercial Bid Price per case for NOI ($)]]+Table143891011[[#This Row],[Region 1: Fixed Fee Per Case ($)]])/Table143891011[[#This Row],['# of CN Servings per case]]</f>
        <v>#DIV/0!</v>
      </c>
      <c r="U64" s="77" t="e">
        <f>Table143891011[[#This Row],[Total Cost Per Serving (O+P)/J]]*Table143891011[[#This Row],[Estimated Servings Annual]]</f>
        <v>#DIV/0!</v>
      </c>
      <c r="V64" s="81">
        <f>(Table143891011[[#This Row],[Commercial Bid Price per case for NOI ($)]]-Table143891011[[#This Row],[Pass-Thru Value per case ($)]])+Table143891011[[#This Row],[Region 2: Fixed Fee Per Case ($)]]</f>
        <v>0</v>
      </c>
      <c r="W64" s="77" t="e">
        <f>(Table143891011[[#This Row],[Commercial Bid Price per case for NOI ($)]]+Table143891011[[#This Row],[Region 2: Fixed Fee Per Case ($)]])/Table143891011[[#This Row],['# of CN Servings per case]]</f>
        <v>#DIV/0!</v>
      </c>
      <c r="X64" s="77" t="e">
        <f>Table143891011[[#This Row],[Total Cost Per Serving (O+Q)/J]]*Table143891011[[#This Row],[Estimated Servings Annual]]</f>
        <v>#DIV/0!</v>
      </c>
    </row>
    <row r="65" spans="1:24" x14ac:dyDescent="0.35">
      <c r="A65" s="30" t="s">
        <v>171</v>
      </c>
      <c r="B65" s="37" t="s">
        <v>179</v>
      </c>
      <c r="C65" s="7" t="s">
        <v>13</v>
      </c>
      <c r="D65" s="7"/>
      <c r="E65" s="7"/>
      <c r="F65" s="7"/>
      <c r="G65" s="7"/>
      <c r="H65" s="7"/>
      <c r="I65" s="7"/>
      <c r="J65" s="7"/>
      <c r="K65" s="49">
        <v>100000</v>
      </c>
      <c r="L65" s="7"/>
      <c r="M65" s="7"/>
      <c r="N65" s="7"/>
      <c r="O65" s="7"/>
      <c r="P65" s="7"/>
      <c r="Q65" s="7"/>
      <c r="R65" s="7"/>
      <c r="S65" s="81">
        <f>(Table143891011[[#This Row],[Commercial Bid Price per case for NOI ($)]]-Table143891011[[#This Row],[Pass-Thru Value per case ($)]])+Table143891011[[#This Row],[Region 1: Fixed Fee Per Case ($)]]</f>
        <v>0</v>
      </c>
      <c r="T65" s="77" t="e">
        <f>(Table143891011[[#This Row],[Commercial Bid Price per case for NOI ($)]]+Table143891011[[#This Row],[Region 1: Fixed Fee Per Case ($)]])/Table143891011[[#This Row],['# of CN Servings per case]]</f>
        <v>#DIV/0!</v>
      </c>
      <c r="U65" s="77" t="e">
        <f>Table143891011[[#This Row],[Total Cost Per Serving (O+P)/J]]*Table143891011[[#This Row],[Estimated Servings Annual]]</f>
        <v>#DIV/0!</v>
      </c>
      <c r="V65" s="81">
        <f>(Table143891011[[#This Row],[Commercial Bid Price per case for NOI ($)]]-Table143891011[[#This Row],[Pass-Thru Value per case ($)]])+Table143891011[[#This Row],[Region 2: Fixed Fee Per Case ($)]]</f>
        <v>0</v>
      </c>
      <c r="W65" s="77" t="e">
        <f>(Table143891011[[#This Row],[Commercial Bid Price per case for NOI ($)]]+Table143891011[[#This Row],[Region 2: Fixed Fee Per Case ($)]])/Table143891011[[#This Row],['# of CN Servings per case]]</f>
        <v>#DIV/0!</v>
      </c>
      <c r="X65" s="77" t="e">
        <f>Table143891011[[#This Row],[Total Cost Per Serving (O+Q)/J]]*Table143891011[[#This Row],[Estimated Servings Annual]]</f>
        <v>#DIV/0!</v>
      </c>
    </row>
    <row r="66" spans="1:24" ht="15" thickBot="1" x14ac:dyDescent="0.4">
      <c r="A66" s="30" t="s">
        <v>171</v>
      </c>
      <c r="B66" s="37" t="s">
        <v>179</v>
      </c>
      <c r="C66" s="8" t="s">
        <v>13</v>
      </c>
      <c r="D66" s="27"/>
      <c r="E66" s="27"/>
      <c r="F66" s="27"/>
      <c r="G66" s="27"/>
      <c r="H66" s="27"/>
      <c r="I66" s="27"/>
      <c r="J66" s="27"/>
      <c r="K66" s="49">
        <v>100000</v>
      </c>
      <c r="L66" s="27"/>
      <c r="M66" s="27"/>
      <c r="N66" s="27"/>
      <c r="O66" s="27"/>
      <c r="P66" s="27"/>
      <c r="Q66" s="27"/>
      <c r="R66" s="27"/>
      <c r="S66" s="90">
        <f>(Table143891011[[#This Row],[Commercial Bid Price per case for NOI ($)]]-Table143891011[[#This Row],[Pass-Thru Value per case ($)]])+Table143891011[[#This Row],[Region 1: Fixed Fee Per Case ($)]]</f>
        <v>0</v>
      </c>
      <c r="T66" s="91" t="e">
        <f>(Table143891011[[#This Row],[Commercial Bid Price per case for NOI ($)]]+Table143891011[[#This Row],[Region 1: Fixed Fee Per Case ($)]])/Table143891011[[#This Row],['# of CN Servings per case]]</f>
        <v>#DIV/0!</v>
      </c>
      <c r="U66" s="91" t="e">
        <f>Table143891011[[#This Row],[Total Cost Per Serving (O+P)/J]]*Table143891011[[#This Row],[Estimated Servings Annual]]</f>
        <v>#DIV/0!</v>
      </c>
      <c r="V66" s="90">
        <f>(Table143891011[[#This Row],[Commercial Bid Price per case for NOI ($)]]-Table143891011[[#This Row],[Pass-Thru Value per case ($)]])+Table143891011[[#This Row],[Region 2: Fixed Fee Per Case ($)]]</f>
        <v>0</v>
      </c>
      <c r="W66" s="91" t="e">
        <f>(Table143891011[[#This Row],[Commercial Bid Price per case for NOI ($)]]+Table143891011[[#This Row],[Region 2: Fixed Fee Per Case ($)]])/Table143891011[[#This Row],['# of CN Servings per case]]</f>
        <v>#DIV/0!</v>
      </c>
      <c r="X66" s="91" t="e">
        <f>Table143891011[[#This Row],[Total Cost Per Serving (O+Q)/J]]*Table143891011[[#This Row],[Estimated Servings Annual]]</f>
        <v>#DIV/0!</v>
      </c>
    </row>
  </sheetData>
  <sheetProtection algorithmName="SHA-512" hashValue="N1QKJzPAnNdWVNwNa9zAO4ouJdWnwFs3iPuU7S3XsYqNpjI4Cr3S4cLDqDviYMxnCXI1gI5gwvt2PG/Hp/SjVQ==" saltValue="dbHyo1dXiVPCqlHw6na+ng==" spinCount="100000" sheet="1" objects="1" scenarios="1" formatCells="0" formatColumns="0"/>
  <mergeCells count="3">
    <mergeCell ref="E1:G1"/>
    <mergeCell ref="S1:U1"/>
    <mergeCell ref="V1:X1"/>
  </mergeCells>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3:B21"/>
  <sheetViews>
    <sheetView workbookViewId="0">
      <selection activeCell="A3" sqref="A3"/>
    </sheetView>
  </sheetViews>
  <sheetFormatPr defaultRowHeight="14.5" x14ac:dyDescent="0.35"/>
  <cols>
    <col min="1" max="1" width="26.1796875" bestFit="1" customWidth="1"/>
    <col min="2" max="2" width="31" bestFit="1" customWidth="1"/>
  </cols>
  <sheetData>
    <row r="3" spans="1:2" x14ac:dyDescent="0.35">
      <c r="A3" s="1" t="s">
        <v>16</v>
      </c>
      <c r="B3" t="s">
        <v>18</v>
      </c>
    </row>
    <row r="4" spans="1:2" x14ac:dyDescent="0.35">
      <c r="A4" s="2" t="s">
        <v>15</v>
      </c>
      <c r="B4" s="5" t="e">
        <v>#DIV/0!</v>
      </c>
    </row>
    <row r="5" spans="1:2" x14ac:dyDescent="0.35">
      <c r="A5" s="3" t="s">
        <v>7</v>
      </c>
      <c r="B5" s="5" t="e">
        <v>#DIV/0!</v>
      </c>
    </row>
    <row r="6" spans="1:2" x14ac:dyDescent="0.35">
      <c r="A6" s="4" t="s">
        <v>11</v>
      </c>
      <c r="B6" s="5" t="e">
        <v>#DIV/0!</v>
      </c>
    </row>
    <row r="7" spans="1:2" x14ac:dyDescent="0.35">
      <c r="A7" s="4" t="s">
        <v>12</v>
      </c>
      <c r="B7" s="5" t="e">
        <v>#DIV/0!</v>
      </c>
    </row>
    <row r="8" spans="1:2" x14ac:dyDescent="0.35">
      <c r="A8" s="4" t="s">
        <v>13</v>
      </c>
      <c r="B8" s="5" t="e">
        <v>#DIV/0!</v>
      </c>
    </row>
    <row r="9" spans="1:2" x14ac:dyDescent="0.35">
      <c r="A9" s="3" t="s">
        <v>8</v>
      </c>
      <c r="B9" s="5" t="e">
        <v>#DIV/0!</v>
      </c>
    </row>
    <row r="10" spans="1:2" x14ac:dyDescent="0.35">
      <c r="A10" s="4" t="s">
        <v>11</v>
      </c>
      <c r="B10" s="5" t="e">
        <v>#DIV/0!</v>
      </c>
    </row>
    <row r="11" spans="1:2" x14ac:dyDescent="0.35">
      <c r="A11" s="4" t="s">
        <v>12</v>
      </c>
      <c r="B11" s="5" t="e">
        <v>#DIV/0!</v>
      </c>
    </row>
    <row r="12" spans="1:2" x14ac:dyDescent="0.35">
      <c r="A12" s="4" t="s">
        <v>13</v>
      </c>
      <c r="B12" s="5" t="e">
        <v>#DIV/0!</v>
      </c>
    </row>
    <row r="13" spans="1:2" x14ac:dyDescent="0.35">
      <c r="A13" s="3" t="s">
        <v>9</v>
      </c>
      <c r="B13" s="5" t="e">
        <v>#DIV/0!</v>
      </c>
    </row>
    <row r="14" spans="1:2" x14ac:dyDescent="0.35">
      <c r="A14" s="4" t="s">
        <v>11</v>
      </c>
      <c r="B14" s="5" t="e">
        <v>#DIV/0!</v>
      </c>
    </row>
    <row r="15" spans="1:2" x14ac:dyDescent="0.35">
      <c r="A15" s="4" t="s">
        <v>12</v>
      </c>
      <c r="B15" s="5" t="e">
        <v>#DIV/0!</v>
      </c>
    </row>
    <row r="16" spans="1:2" x14ac:dyDescent="0.35">
      <c r="A16" s="4" t="s">
        <v>13</v>
      </c>
      <c r="B16" s="5" t="e">
        <v>#DIV/0!</v>
      </c>
    </row>
    <row r="17" spans="1:2" x14ac:dyDescent="0.35">
      <c r="A17" s="3" t="s">
        <v>10</v>
      </c>
      <c r="B17" s="5" t="e">
        <v>#DIV/0!</v>
      </c>
    </row>
    <row r="18" spans="1:2" x14ac:dyDescent="0.35">
      <c r="A18" s="4" t="s">
        <v>11</v>
      </c>
      <c r="B18" s="5" t="e">
        <v>#DIV/0!</v>
      </c>
    </row>
    <row r="19" spans="1:2" x14ac:dyDescent="0.35">
      <c r="A19" s="4" t="s">
        <v>12</v>
      </c>
      <c r="B19" s="5" t="e">
        <v>#DIV/0!</v>
      </c>
    </row>
    <row r="20" spans="1:2" x14ac:dyDescent="0.35">
      <c r="A20" s="4" t="s">
        <v>13</v>
      </c>
      <c r="B20" s="5" t="e">
        <v>#DIV/0!</v>
      </c>
    </row>
    <row r="21" spans="1:2" x14ac:dyDescent="0.35">
      <c r="A21" s="2" t="s">
        <v>17</v>
      </c>
      <c r="B21" s="5" t="e">
        <v>#DIV/0!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66"/>
  <sheetViews>
    <sheetView workbookViewId="0">
      <pane xSplit="3" ySplit="2" topLeftCell="D3" activePane="bottomRight" state="frozen"/>
      <selection activeCell="A24" sqref="A24"/>
      <selection pane="topRight" activeCell="A24" sqref="A24"/>
      <selection pane="bottomLeft" activeCell="A24" sqref="A24"/>
      <selection pane="bottomRight" activeCell="D12" sqref="D12"/>
    </sheetView>
  </sheetViews>
  <sheetFormatPr defaultRowHeight="14.5" x14ac:dyDescent="0.35"/>
  <cols>
    <col min="1" max="1" width="11.1796875" style="9" bestFit="1" customWidth="1"/>
    <col min="2" max="2" width="16.26953125" style="9" bestFit="1" customWidth="1"/>
    <col min="3" max="3" width="25.453125" style="9" bestFit="1" customWidth="1"/>
    <col min="4" max="4" width="21.7265625" style="9" bestFit="1" customWidth="1"/>
    <col min="5" max="5" width="21" style="9" bestFit="1" customWidth="1"/>
    <col min="6" max="6" width="15.54296875" style="9" bestFit="1" customWidth="1"/>
    <col min="7" max="7" width="15.1796875" style="9" bestFit="1" customWidth="1"/>
    <col min="8" max="8" width="14.26953125" style="9" bestFit="1" customWidth="1"/>
    <col min="9" max="9" width="17.54296875" style="9" bestFit="1" customWidth="1"/>
    <col min="10" max="10" width="17.54296875" style="63" bestFit="1" customWidth="1"/>
    <col min="11" max="11" width="19.453125" style="9" bestFit="1" customWidth="1"/>
    <col min="12" max="12" width="18.54296875" style="9" bestFit="1" customWidth="1"/>
    <col min="13" max="13" width="17.54296875" style="9" bestFit="1" customWidth="1"/>
    <col min="14" max="14" width="17.26953125" style="9" bestFit="1" customWidth="1"/>
    <col min="15" max="16" width="17.54296875" style="9" bestFit="1" customWidth="1"/>
    <col min="17" max="17" width="15.1796875" style="9" bestFit="1" customWidth="1"/>
    <col min="18" max="18" width="16.453125" style="9" customWidth="1"/>
    <col min="19" max="19" width="15.81640625" style="9" customWidth="1"/>
    <col min="20" max="20" width="13.81640625" style="9" customWidth="1"/>
    <col min="21" max="21" width="13.453125" style="9" customWidth="1"/>
    <col min="22" max="22" width="15.08984375" style="9" customWidth="1"/>
    <col min="23" max="23" width="15.1796875" style="9" customWidth="1"/>
    <col min="24" max="24" width="12.90625" style="9" customWidth="1"/>
    <col min="25" max="16384" width="8.7265625" style="9"/>
  </cols>
  <sheetData>
    <row r="1" spans="1:24" x14ac:dyDescent="0.35">
      <c r="D1" s="10" t="s">
        <v>63</v>
      </c>
      <c r="E1" s="97">
        <f>Instructions!A2</f>
        <v>0</v>
      </c>
      <c r="F1" s="97"/>
      <c r="G1" s="97"/>
      <c r="S1" s="98" t="s">
        <v>72</v>
      </c>
      <c r="T1" s="99"/>
      <c r="U1" s="100"/>
      <c r="V1" s="101" t="s">
        <v>73</v>
      </c>
      <c r="W1" s="102"/>
      <c r="X1" s="102"/>
    </row>
    <row r="2" spans="1:24" s="10" customFormat="1" ht="58.5" thickBot="1" x14ac:dyDescent="0.4">
      <c r="A2" s="10" t="s">
        <v>14</v>
      </c>
      <c r="B2" s="10" t="s">
        <v>3</v>
      </c>
      <c r="C2" s="10" t="s">
        <v>23</v>
      </c>
      <c r="D2" s="10" t="s">
        <v>66</v>
      </c>
      <c r="E2" s="10" t="s">
        <v>182</v>
      </c>
      <c r="F2" s="10" t="s">
        <v>0</v>
      </c>
      <c r="G2" s="10" t="s">
        <v>4</v>
      </c>
      <c r="H2" s="10" t="s">
        <v>20</v>
      </c>
      <c r="I2" s="10" t="s">
        <v>1</v>
      </c>
      <c r="J2" s="10" t="s">
        <v>5</v>
      </c>
      <c r="K2" s="18" t="s">
        <v>6</v>
      </c>
      <c r="L2" s="10" t="s">
        <v>2</v>
      </c>
      <c r="M2" s="10" t="s">
        <v>21</v>
      </c>
      <c r="N2" s="10" t="s">
        <v>65</v>
      </c>
      <c r="O2" s="10" t="s">
        <v>22</v>
      </c>
      <c r="P2" s="10" t="s">
        <v>70</v>
      </c>
      <c r="Q2" s="10" t="s">
        <v>71</v>
      </c>
      <c r="R2" s="10" t="s">
        <v>19</v>
      </c>
      <c r="S2" s="64" t="s">
        <v>77</v>
      </c>
      <c r="T2" s="65" t="s">
        <v>79</v>
      </c>
      <c r="U2" s="66" t="s">
        <v>80</v>
      </c>
      <c r="V2" s="64" t="s">
        <v>78</v>
      </c>
      <c r="W2" s="65" t="s">
        <v>81</v>
      </c>
      <c r="X2" s="66" t="s">
        <v>82</v>
      </c>
    </row>
    <row r="3" spans="1:24" x14ac:dyDescent="0.35">
      <c r="A3" s="29" t="s">
        <v>27</v>
      </c>
      <c r="B3" s="11" t="s">
        <v>86</v>
      </c>
      <c r="C3" s="6" t="s">
        <v>83</v>
      </c>
      <c r="D3" s="6"/>
      <c r="E3" s="6"/>
      <c r="F3" s="6"/>
      <c r="G3" s="6"/>
      <c r="H3" s="6"/>
      <c r="I3" s="6"/>
      <c r="J3" s="6"/>
      <c r="K3" s="48">
        <v>160000</v>
      </c>
      <c r="L3" s="6"/>
      <c r="M3" s="6"/>
      <c r="N3" s="6"/>
      <c r="O3" s="6"/>
      <c r="P3" s="6"/>
      <c r="Q3" s="6"/>
      <c r="R3" s="6"/>
      <c r="S3" s="67">
        <f>(Table14[[#This Row],[Commercial Bid Price per case for NOI ($)]]-Table14[[#This Row],[Pass-Thru Value per case ($)]])+Table14[[#This Row],[Region 1: Fixed Fee Per Case ($)]]</f>
        <v>0</v>
      </c>
      <c r="T3" s="68" t="e">
        <f>(Table14[[#This Row],[Commercial Bid Price per case for NOI ($)]]+Table14[[#This Row],[Region 1: Fixed Fee Per Case ($)]])/Table14[[#This Row],['# of CN Servings per case]]</f>
        <v>#DIV/0!</v>
      </c>
      <c r="U3" s="68" t="e">
        <f>Table14[[#This Row],[Total Cost Per Serving (O+P)/J]]*Table14[[#This Row],[Estimated Servings Annual]]</f>
        <v>#DIV/0!</v>
      </c>
      <c r="V3" s="67">
        <f>(Table14[[#This Row],[Commercial Bid Price per case for NOI ($)]]-Table14[[#This Row],[Pass-Thru Value per case ($)]])+Table14[[#This Row],[Region 2: Fixed Fee Per Case ($)]]</f>
        <v>0</v>
      </c>
      <c r="W3" s="68" t="e">
        <f>(Table14[[#This Row],[Commercial Bid Price per case for NOI ($)]]+Table14[[#This Row],[Region 2: Fixed Fee Per Case ($)]])/Table14[[#This Row],['# of CN Servings per case]]</f>
        <v>#DIV/0!</v>
      </c>
      <c r="X3" s="69" t="e">
        <f>Table14[[#This Row],[Total Cost Per Serving (O+Q)/J]]*Table14[[#This Row],[Estimated Servings Annual]]</f>
        <v>#DIV/0!</v>
      </c>
    </row>
    <row r="4" spans="1:24" x14ac:dyDescent="0.35">
      <c r="A4" s="30" t="s">
        <v>27</v>
      </c>
      <c r="B4" s="12" t="s">
        <v>86</v>
      </c>
      <c r="C4" s="7" t="s">
        <v>83</v>
      </c>
      <c r="D4" s="7"/>
      <c r="E4" s="7"/>
      <c r="F4" s="7"/>
      <c r="G4" s="7"/>
      <c r="H4" s="7"/>
      <c r="I4" s="7"/>
      <c r="J4" s="7"/>
      <c r="K4" s="49">
        <v>160000</v>
      </c>
      <c r="L4" s="7"/>
      <c r="M4" s="7"/>
      <c r="N4" s="7"/>
      <c r="O4" s="7"/>
      <c r="P4" s="7"/>
      <c r="Q4" s="7"/>
      <c r="R4" s="7"/>
      <c r="S4" s="70">
        <f>(Table14[[#This Row],[Commercial Bid Price per case for NOI ($)]]-Table14[[#This Row],[Pass-Thru Value per case ($)]])+Table14[[#This Row],[Region 1: Fixed Fee Per Case ($)]]</f>
        <v>0</v>
      </c>
      <c r="T4" s="71" t="e">
        <f>(Table14[[#This Row],[Commercial Bid Price per case for NOI ($)]]+Table14[[#This Row],[Region 1: Fixed Fee Per Case ($)]])/Table14[[#This Row],['# of CN Servings per case]]</f>
        <v>#DIV/0!</v>
      </c>
      <c r="U4" s="71" t="e">
        <f>Table14[[#This Row],[Total Cost Per Serving (O+P)/J]]*Table14[[#This Row],[Estimated Servings Annual]]</f>
        <v>#DIV/0!</v>
      </c>
      <c r="V4" s="70">
        <f>(Table14[[#This Row],[Commercial Bid Price per case for NOI ($)]]-Table14[[#This Row],[Pass-Thru Value per case ($)]])+Table14[[#This Row],[Region 2: Fixed Fee Per Case ($)]]</f>
        <v>0</v>
      </c>
      <c r="W4" s="71" t="e">
        <f>(Table14[[#This Row],[Commercial Bid Price per case for NOI ($)]]+Table14[[#This Row],[Region 2: Fixed Fee Per Case ($)]])/Table14[[#This Row],['# of CN Servings per case]]</f>
        <v>#DIV/0!</v>
      </c>
      <c r="X4" s="72" t="e">
        <f>Table14[[#This Row],[Total Cost Per Serving (O+Q)/J]]*Table14[[#This Row],[Estimated Servings Annual]]</f>
        <v>#DIV/0!</v>
      </c>
    </row>
    <row r="5" spans="1:24" x14ac:dyDescent="0.35">
      <c r="A5" s="30" t="s">
        <v>27</v>
      </c>
      <c r="B5" s="12" t="s">
        <v>86</v>
      </c>
      <c r="C5" s="7" t="s">
        <v>13</v>
      </c>
      <c r="D5" s="7"/>
      <c r="E5" s="7"/>
      <c r="F5" s="7"/>
      <c r="G5" s="7"/>
      <c r="H5" s="7"/>
      <c r="I5" s="7"/>
      <c r="J5" s="7"/>
      <c r="K5" s="49">
        <v>160000</v>
      </c>
      <c r="L5" s="7"/>
      <c r="M5" s="7"/>
      <c r="N5" s="7"/>
      <c r="O5" s="7"/>
      <c r="P5" s="7"/>
      <c r="Q5" s="7"/>
      <c r="R5" s="7"/>
      <c r="S5" s="70">
        <f>(Table14[[#This Row],[Commercial Bid Price per case for NOI ($)]]-Table14[[#This Row],[Pass-Thru Value per case ($)]])+Table14[[#This Row],[Region 1: Fixed Fee Per Case ($)]]</f>
        <v>0</v>
      </c>
      <c r="T5" s="71" t="e">
        <f>(Table14[[#This Row],[Commercial Bid Price per case for NOI ($)]]+Table14[[#This Row],[Region 1: Fixed Fee Per Case ($)]])/Table14[[#This Row],['# of CN Servings per case]]</f>
        <v>#DIV/0!</v>
      </c>
      <c r="U5" s="71" t="e">
        <f>Table14[[#This Row],[Total Cost Per Serving (O+P)/J]]*Table14[[#This Row],[Estimated Servings Annual]]</f>
        <v>#DIV/0!</v>
      </c>
      <c r="V5" s="70">
        <f>(Table14[[#This Row],[Commercial Bid Price per case for NOI ($)]]-Table14[[#This Row],[Pass-Thru Value per case ($)]])+Table14[[#This Row],[Region 2: Fixed Fee Per Case ($)]]</f>
        <v>0</v>
      </c>
      <c r="W5" s="71" t="e">
        <f>(Table14[[#This Row],[Commercial Bid Price per case for NOI ($)]]+Table14[[#This Row],[Region 2: Fixed Fee Per Case ($)]])/Table14[[#This Row],['# of CN Servings per case]]</f>
        <v>#DIV/0!</v>
      </c>
      <c r="X5" s="72" t="e">
        <f>Table14[[#This Row],[Total Cost Per Serving (O+Q)/J]]*Table14[[#This Row],[Estimated Servings Annual]]</f>
        <v>#DIV/0!</v>
      </c>
    </row>
    <row r="6" spans="1:24" x14ac:dyDescent="0.35">
      <c r="A6" s="30" t="s">
        <v>27</v>
      </c>
      <c r="B6" s="12" t="s">
        <v>86</v>
      </c>
      <c r="C6" s="7" t="s">
        <v>13</v>
      </c>
      <c r="D6" s="7"/>
      <c r="E6" s="7"/>
      <c r="F6" s="7"/>
      <c r="G6" s="7"/>
      <c r="H6" s="7"/>
      <c r="I6" s="7"/>
      <c r="J6" s="7"/>
      <c r="K6" s="49">
        <v>160000</v>
      </c>
      <c r="L6" s="7"/>
      <c r="M6" s="7"/>
      <c r="N6" s="7"/>
      <c r="O6" s="7"/>
      <c r="P6" s="7"/>
      <c r="Q6" s="7"/>
      <c r="R6" s="7"/>
      <c r="S6" s="70">
        <f>(Table14[[#This Row],[Commercial Bid Price per case for NOI ($)]]-Table14[[#This Row],[Pass-Thru Value per case ($)]])+Table14[[#This Row],[Region 1: Fixed Fee Per Case ($)]]</f>
        <v>0</v>
      </c>
      <c r="T6" s="71" t="e">
        <f>(Table14[[#This Row],[Commercial Bid Price per case for NOI ($)]]+Table14[[#This Row],[Region 1: Fixed Fee Per Case ($)]])/Table14[[#This Row],['# of CN Servings per case]]</f>
        <v>#DIV/0!</v>
      </c>
      <c r="U6" s="71" t="e">
        <f>Table14[[#This Row],[Total Cost Per Serving (O+P)/J]]*Table14[[#This Row],[Estimated Servings Annual]]</f>
        <v>#DIV/0!</v>
      </c>
      <c r="V6" s="70">
        <f>(Table14[[#This Row],[Commercial Bid Price per case for NOI ($)]]-Table14[[#This Row],[Pass-Thru Value per case ($)]])+Table14[[#This Row],[Region 2: Fixed Fee Per Case ($)]]</f>
        <v>0</v>
      </c>
      <c r="W6" s="71" t="e">
        <f>(Table14[[#This Row],[Commercial Bid Price per case for NOI ($)]]+Table14[[#This Row],[Region 2: Fixed Fee Per Case ($)]])/Table14[[#This Row],['# of CN Servings per case]]</f>
        <v>#DIV/0!</v>
      </c>
      <c r="X6" s="72" t="e">
        <f>Table14[[#This Row],[Total Cost Per Serving (O+Q)/J]]*Table14[[#This Row],[Estimated Servings Annual]]</f>
        <v>#DIV/0!</v>
      </c>
    </row>
    <row r="7" spans="1:24" x14ac:dyDescent="0.35">
      <c r="A7" s="30" t="s">
        <v>27</v>
      </c>
      <c r="B7" s="12" t="s">
        <v>86</v>
      </c>
      <c r="C7" s="7" t="s">
        <v>13</v>
      </c>
      <c r="D7" s="7"/>
      <c r="E7" s="7"/>
      <c r="F7" s="7"/>
      <c r="G7" s="7"/>
      <c r="H7" s="7"/>
      <c r="I7" s="7"/>
      <c r="J7" s="7"/>
      <c r="K7" s="49">
        <v>160000</v>
      </c>
      <c r="L7" s="7"/>
      <c r="M7" s="7"/>
      <c r="N7" s="7"/>
      <c r="O7" s="7"/>
      <c r="P7" s="7"/>
      <c r="Q7" s="7"/>
      <c r="R7" s="7"/>
      <c r="S7" s="70">
        <f>(Table14[[#This Row],[Commercial Bid Price per case for NOI ($)]]-Table14[[#This Row],[Pass-Thru Value per case ($)]])+Table14[[#This Row],[Region 1: Fixed Fee Per Case ($)]]</f>
        <v>0</v>
      </c>
      <c r="T7" s="71" t="e">
        <f>(Table14[[#This Row],[Commercial Bid Price per case for NOI ($)]]+Table14[[#This Row],[Region 1: Fixed Fee Per Case ($)]])/Table14[[#This Row],['# of CN Servings per case]]</f>
        <v>#DIV/0!</v>
      </c>
      <c r="U7" s="71" t="e">
        <f>Table14[[#This Row],[Total Cost Per Serving (O+P)/J]]*Table14[[#This Row],[Estimated Servings Annual]]</f>
        <v>#DIV/0!</v>
      </c>
      <c r="V7" s="70">
        <f>(Table14[[#This Row],[Commercial Bid Price per case for NOI ($)]]-Table14[[#This Row],[Pass-Thru Value per case ($)]])+Table14[[#This Row],[Region 2: Fixed Fee Per Case ($)]]</f>
        <v>0</v>
      </c>
      <c r="W7" s="71" t="e">
        <f>(Table14[[#This Row],[Commercial Bid Price per case for NOI ($)]]+Table14[[#This Row],[Region 2: Fixed Fee Per Case ($)]])/Table14[[#This Row],['# of CN Servings per case]]</f>
        <v>#DIV/0!</v>
      </c>
      <c r="X7" s="72" t="e">
        <f>Table14[[#This Row],[Total Cost Per Serving (O+Q)/J]]*Table14[[#This Row],[Estimated Servings Annual]]</f>
        <v>#DIV/0!</v>
      </c>
    </row>
    <row r="8" spans="1:24" x14ac:dyDescent="0.35">
      <c r="A8" s="30" t="s">
        <v>27</v>
      </c>
      <c r="B8" s="12" t="s">
        <v>86</v>
      </c>
      <c r="C8" s="7" t="s">
        <v>13</v>
      </c>
      <c r="D8" s="7"/>
      <c r="E8" s="7"/>
      <c r="F8" s="7"/>
      <c r="G8" s="7"/>
      <c r="H8" s="7"/>
      <c r="I8" s="7"/>
      <c r="J8" s="7"/>
      <c r="K8" s="49">
        <v>160000</v>
      </c>
      <c r="L8" s="7"/>
      <c r="M8" s="7"/>
      <c r="N8" s="7"/>
      <c r="O8" s="7"/>
      <c r="P8" s="7"/>
      <c r="Q8" s="7"/>
      <c r="R8" s="7"/>
      <c r="S8" s="70">
        <f>(Table14[[#This Row],[Commercial Bid Price per case for NOI ($)]]-Table14[[#This Row],[Pass-Thru Value per case ($)]])+Table14[[#This Row],[Region 1: Fixed Fee Per Case ($)]]</f>
        <v>0</v>
      </c>
      <c r="T8" s="71" t="e">
        <f>(Table14[[#This Row],[Commercial Bid Price per case for NOI ($)]]+Table14[[#This Row],[Region 1: Fixed Fee Per Case ($)]])/Table14[[#This Row],['# of CN Servings per case]]</f>
        <v>#DIV/0!</v>
      </c>
      <c r="U8" s="71" t="e">
        <f>Table14[[#This Row],[Total Cost Per Serving (O+P)/J]]*Table14[[#This Row],[Estimated Servings Annual]]</f>
        <v>#DIV/0!</v>
      </c>
      <c r="V8" s="70">
        <f>(Table14[[#This Row],[Commercial Bid Price per case for NOI ($)]]-Table14[[#This Row],[Pass-Thru Value per case ($)]])+Table14[[#This Row],[Region 2: Fixed Fee Per Case ($)]]</f>
        <v>0</v>
      </c>
      <c r="W8" s="71" t="e">
        <f>(Table14[[#This Row],[Commercial Bid Price per case for NOI ($)]]+Table14[[#This Row],[Region 2: Fixed Fee Per Case ($)]])/Table14[[#This Row],['# of CN Servings per case]]</f>
        <v>#DIV/0!</v>
      </c>
      <c r="X8" s="72" t="e">
        <f>Table14[[#This Row],[Total Cost Per Serving (O+Q)/J]]*Table14[[#This Row],[Estimated Servings Annual]]</f>
        <v>#DIV/0!</v>
      </c>
    </row>
    <row r="9" spans="1:24" x14ac:dyDescent="0.35">
      <c r="A9" s="30" t="s">
        <v>27</v>
      </c>
      <c r="B9" s="12" t="s">
        <v>86</v>
      </c>
      <c r="C9" s="7" t="s">
        <v>13</v>
      </c>
      <c r="D9" s="7"/>
      <c r="E9" s="7"/>
      <c r="F9" s="7"/>
      <c r="G9" s="7"/>
      <c r="H9" s="7"/>
      <c r="I9" s="7"/>
      <c r="J9" s="7"/>
      <c r="K9" s="49">
        <v>160000</v>
      </c>
      <c r="L9" s="7"/>
      <c r="M9" s="7"/>
      <c r="N9" s="7"/>
      <c r="O9" s="7"/>
      <c r="P9" s="7"/>
      <c r="Q9" s="7"/>
      <c r="R9" s="7"/>
      <c r="S9" s="70">
        <f>(Table14[[#This Row],[Commercial Bid Price per case for NOI ($)]]-Table14[[#This Row],[Pass-Thru Value per case ($)]])+Table14[[#This Row],[Region 1: Fixed Fee Per Case ($)]]</f>
        <v>0</v>
      </c>
      <c r="T9" s="71" t="e">
        <f>(Table14[[#This Row],[Commercial Bid Price per case for NOI ($)]]+Table14[[#This Row],[Region 1: Fixed Fee Per Case ($)]])/Table14[[#This Row],['# of CN Servings per case]]</f>
        <v>#DIV/0!</v>
      </c>
      <c r="U9" s="71" t="e">
        <f>Table14[[#This Row],[Total Cost Per Serving (O+P)/J]]*Table14[[#This Row],[Estimated Servings Annual]]</f>
        <v>#DIV/0!</v>
      </c>
      <c r="V9" s="70">
        <f>(Table14[[#This Row],[Commercial Bid Price per case for NOI ($)]]-Table14[[#This Row],[Pass-Thru Value per case ($)]])+Table14[[#This Row],[Region 2: Fixed Fee Per Case ($)]]</f>
        <v>0</v>
      </c>
      <c r="W9" s="71" t="e">
        <f>(Table14[[#This Row],[Commercial Bid Price per case for NOI ($)]]+Table14[[#This Row],[Region 2: Fixed Fee Per Case ($)]])/Table14[[#This Row],['# of CN Servings per case]]</f>
        <v>#DIV/0!</v>
      </c>
      <c r="X9" s="72" t="e">
        <f>Table14[[#This Row],[Total Cost Per Serving (O+Q)/J]]*Table14[[#This Row],[Estimated Servings Annual]]</f>
        <v>#DIV/0!</v>
      </c>
    </row>
    <row r="10" spans="1:24" ht="15" thickBot="1" x14ac:dyDescent="0.4">
      <c r="A10" s="30" t="s">
        <v>27</v>
      </c>
      <c r="B10" s="13" t="s">
        <v>86</v>
      </c>
      <c r="C10" s="8" t="s">
        <v>13</v>
      </c>
      <c r="D10" s="8"/>
      <c r="E10" s="8"/>
      <c r="F10" s="8"/>
      <c r="G10" s="8"/>
      <c r="H10" s="8"/>
      <c r="I10" s="8"/>
      <c r="J10" s="8"/>
      <c r="K10" s="50">
        <v>160000</v>
      </c>
      <c r="L10" s="8"/>
      <c r="M10" s="8"/>
      <c r="N10" s="8"/>
      <c r="O10" s="8"/>
      <c r="P10" s="8"/>
      <c r="Q10" s="8"/>
      <c r="R10" s="8"/>
      <c r="S10" s="73">
        <f>(Table14[[#This Row],[Commercial Bid Price per case for NOI ($)]]-Table14[[#This Row],[Pass-Thru Value per case ($)]])+Table14[[#This Row],[Region 1: Fixed Fee Per Case ($)]]</f>
        <v>0</v>
      </c>
      <c r="T10" s="74" t="e">
        <f>(Table14[[#This Row],[Commercial Bid Price per case for NOI ($)]]+Table14[[#This Row],[Region 1: Fixed Fee Per Case ($)]])/Table14[[#This Row],['# of CN Servings per case]]</f>
        <v>#DIV/0!</v>
      </c>
      <c r="U10" s="74" t="e">
        <f>Table14[[#This Row],[Total Cost Per Serving (O+P)/J]]*Table14[[#This Row],[Estimated Servings Annual]]</f>
        <v>#DIV/0!</v>
      </c>
      <c r="V10" s="73">
        <f>(Table14[[#This Row],[Commercial Bid Price per case for NOI ($)]]-Table14[[#This Row],[Pass-Thru Value per case ($)]])+Table14[[#This Row],[Region 2: Fixed Fee Per Case ($)]]</f>
        <v>0</v>
      </c>
      <c r="W10" s="74" t="e">
        <f>(Table14[[#This Row],[Commercial Bid Price per case for NOI ($)]]+Table14[[#This Row],[Region 2: Fixed Fee Per Case ($)]])/Table14[[#This Row],['# of CN Servings per case]]</f>
        <v>#DIV/0!</v>
      </c>
      <c r="X10" s="75" t="e">
        <f>Table14[[#This Row],[Total Cost Per Serving (O+Q)/J]]*Table14[[#This Row],[Estimated Servings Annual]]</f>
        <v>#DIV/0!</v>
      </c>
    </row>
    <row r="11" spans="1:24" x14ac:dyDescent="0.35">
      <c r="A11" s="30" t="s">
        <v>27</v>
      </c>
      <c r="B11" s="11" t="s">
        <v>84</v>
      </c>
      <c r="C11" s="6" t="s">
        <v>64</v>
      </c>
      <c r="D11" s="6"/>
      <c r="E11" s="6"/>
      <c r="F11" s="6"/>
      <c r="G11" s="6"/>
      <c r="H11" s="6"/>
      <c r="I11" s="6"/>
      <c r="J11" s="6"/>
      <c r="K11" s="48">
        <v>100000</v>
      </c>
      <c r="L11" s="6"/>
      <c r="M11" s="6"/>
      <c r="N11" s="6"/>
      <c r="O11" s="6"/>
      <c r="P11" s="6"/>
      <c r="Q11" s="6"/>
      <c r="R11" s="6"/>
      <c r="S11" s="67">
        <f>(Table14[[#This Row],[Commercial Bid Price per case for NOI ($)]]-Table14[[#This Row],[Pass-Thru Value per case ($)]])+Table14[[#This Row],[Region 1: Fixed Fee Per Case ($)]]</f>
        <v>0</v>
      </c>
      <c r="T11" s="68" t="e">
        <f>(Table14[[#This Row],[Commercial Bid Price per case for NOI ($)]]+Table14[[#This Row],[Region 1: Fixed Fee Per Case ($)]])/Table14[[#This Row],['# of CN Servings per case]]</f>
        <v>#DIV/0!</v>
      </c>
      <c r="U11" s="68" t="e">
        <f>Table14[[#This Row],[Total Cost Per Serving (O+P)/J]]*Table14[[#This Row],[Estimated Servings Annual]]</f>
        <v>#DIV/0!</v>
      </c>
      <c r="V11" s="67">
        <f>(Table14[[#This Row],[Commercial Bid Price per case for NOI ($)]]-Table14[[#This Row],[Pass-Thru Value per case ($)]])+Table14[[#This Row],[Region 2: Fixed Fee Per Case ($)]]</f>
        <v>0</v>
      </c>
      <c r="W11" s="68" t="e">
        <f>(Table14[[#This Row],[Commercial Bid Price per case for NOI ($)]]+Table14[[#This Row],[Region 2: Fixed Fee Per Case ($)]])/Table14[[#This Row],['# of CN Servings per case]]</f>
        <v>#DIV/0!</v>
      </c>
      <c r="X11" s="69" t="e">
        <f>Table14[[#This Row],[Total Cost Per Serving (O+Q)/J]]*Table14[[#This Row],[Estimated Servings Annual]]</f>
        <v>#DIV/0!</v>
      </c>
    </row>
    <row r="12" spans="1:24" x14ac:dyDescent="0.35">
      <c r="A12" s="30" t="s">
        <v>27</v>
      </c>
      <c r="B12" s="12" t="s">
        <v>84</v>
      </c>
      <c r="C12" s="7" t="s">
        <v>64</v>
      </c>
      <c r="D12" s="7"/>
      <c r="E12" s="7"/>
      <c r="F12" s="7"/>
      <c r="G12" s="7"/>
      <c r="H12" s="7"/>
      <c r="I12" s="7"/>
      <c r="J12" s="7"/>
      <c r="K12" s="49">
        <v>100000</v>
      </c>
      <c r="L12" s="7"/>
      <c r="M12" s="7"/>
      <c r="N12" s="7"/>
      <c r="O12" s="7"/>
      <c r="P12" s="7"/>
      <c r="Q12" s="7"/>
      <c r="R12" s="7"/>
      <c r="S12" s="70">
        <f>(Table14[[#This Row],[Commercial Bid Price per case for NOI ($)]]-Table14[[#This Row],[Pass-Thru Value per case ($)]])+Table14[[#This Row],[Region 1: Fixed Fee Per Case ($)]]</f>
        <v>0</v>
      </c>
      <c r="T12" s="71" t="e">
        <f>(Table14[[#This Row],[Commercial Bid Price per case for NOI ($)]]+Table14[[#This Row],[Region 1: Fixed Fee Per Case ($)]])/Table14[[#This Row],['# of CN Servings per case]]</f>
        <v>#DIV/0!</v>
      </c>
      <c r="U12" s="71" t="e">
        <f>Table14[[#This Row],[Total Cost Per Serving (O+P)/J]]*Table14[[#This Row],[Estimated Servings Annual]]</f>
        <v>#DIV/0!</v>
      </c>
      <c r="V12" s="70">
        <f>(Table14[[#This Row],[Commercial Bid Price per case for NOI ($)]]-Table14[[#This Row],[Pass-Thru Value per case ($)]])+Table14[[#This Row],[Region 2: Fixed Fee Per Case ($)]]</f>
        <v>0</v>
      </c>
      <c r="W12" s="71" t="e">
        <f>(Table14[[#This Row],[Commercial Bid Price per case for NOI ($)]]+Table14[[#This Row],[Region 2: Fixed Fee Per Case ($)]])/Table14[[#This Row],['# of CN Servings per case]]</f>
        <v>#DIV/0!</v>
      </c>
      <c r="X12" s="72" t="e">
        <f>Table14[[#This Row],[Total Cost Per Serving (O+Q)/J]]*Table14[[#This Row],[Estimated Servings Annual]]</f>
        <v>#DIV/0!</v>
      </c>
    </row>
    <row r="13" spans="1:24" x14ac:dyDescent="0.35">
      <c r="A13" s="30" t="s">
        <v>27</v>
      </c>
      <c r="B13" s="12" t="s">
        <v>84</v>
      </c>
      <c r="C13" s="7" t="s">
        <v>50</v>
      </c>
      <c r="D13" s="7"/>
      <c r="E13" s="7"/>
      <c r="F13" s="7"/>
      <c r="G13" s="7"/>
      <c r="H13" s="7"/>
      <c r="I13" s="7"/>
      <c r="J13" s="7"/>
      <c r="K13" s="49">
        <v>100000</v>
      </c>
      <c r="L13" s="7"/>
      <c r="M13" s="7"/>
      <c r="N13" s="7"/>
      <c r="O13" s="7"/>
      <c r="P13" s="7"/>
      <c r="Q13" s="7"/>
      <c r="R13" s="7"/>
      <c r="S13" s="70">
        <f>(Table14[[#This Row],[Commercial Bid Price per case for NOI ($)]]-Table14[[#This Row],[Pass-Thru Value per case ($)]])+Table14[[#This Row],[Region 1: Fixed Fee Per Case ($)]]</f>
        <v>0</v>
      </c>
      <c r="T13" s="71" t="e">
        <f>(Table14[[#This Row],[Commercial Bid Price per case for NOI ($)]]+Table14[[#This Row],[Region 1: Fixed Fee Per Case ($)]])/Table14[[#This Row],['# of CN Servings per case]]</f>
        <v>#DIV/0!</v>
      </c>
      <c r="U13" s="71" t="e">
        <f>Table14[[#This Row],[Total Cost Per Serving (O+P)/J]]*Table14[[#This Row],[Estimated Servings Annual]]</f>
        <v>#DIV/0!</v>
      </c>
      <c r="V13" s="70">
        <f>(Table14[[#This Row],[Commercial Bid Price per case for NOI ($)]]-Table14[[#This Row],[Pass-Thru Value per case ($)]])+Table14[[#This Row],[Region 2: Fixed Fee Per Case ($)]]</f>
        <v>0</v>
      </c>
      <c r="W13" s="71" t="e">
        <f>(Table14[[#This Row],[Commercial Bid Price per case for NOI ($)]]+Table14[[#This Row],[Region 2: Fixed Fee Per Case ($)]])/Table14[[#This Row],['# of CN Servings per case]]</f>
        <v>#DIV/0!</v>
      </c>
      <c r="X13" s="72" t="e">
        <f>Table14[[#This Row],[Total Cost Per Serving (O+Q)/J]]*Table14[[#This Row],[Estimated Servings Annual]]</f>
        <v>#DIV/0!</v>
      </c>
    </row>
    <row r="14" spans="1:24" x14ac:dyDescent="0.35">
      <c r="A14" s="30" t="s">
        <v>27</v>
      </c>
      <c r="B14" s="12" t="s">
        <v>84</v>
      </c>
      <c r="C14" s="7" t="s">
        <v>50</v>
      </c>
      <c r="D14" s="7"/>
      <c r="E14" s="7"/>
      <c r="F14" s="7"/>
      <c r="G14" s="7"/>
      <c r="H14" s="7"/>
      <c r="I14" s="7"/>
      <c r="J14" s="7"/>
      <c r="K14" s="49">
        <v>100000</v>
      </c>
      <c r="L14" s="7"/>
      <c r="M14" s="7"/>
      <c r="N14" s="7"/>
      <c r="O14" s="7"/>
      <c r="P14" s="7"/>
      <c r="Q14" s="7"/>
      <c r="R14" s="7"/>
      <c r="S14" s="70">
        <f>(Table14[[#This Row],[Commercial Bid Price per case for NOI ($)]]-Table14[[#This Row],[Pass-Thru Value per case ($)]])+Table14[[#This Row],[Region 1: Fixed Fee Per Case ($)]]</f>
        <v>0</v>
      </c>
      <c r="T14" s="71" t="e">
        <f>(Table14[[#This Row],[Commercial Bid Price per case for NOI ($)]]+Table14[[#This Row],[Region 1: Fixed Fee Per Case ($)]])/Table14[[#This Row],['# of CN Servings per case]]</f>
        <v>#DIV/0!</v>
      </c>
      <c r="U14" s="71" t="e">
        <f>Table14[[#This Row],[Total Cost Per Serving (O+P)/J]]*Table14[[#This Row],[Estimated Servings Annual]]</f>
        <v>#DIV/0!</v>
      </c>
      <c r="V14" s="70">
        <f>(Table14[[#This Row],[Commercial Bid Price per case for NOI ($)]]-Table14[[#This Row],[Pass-Thru Value per case ($)]])+Table14[[#This Row],[Region 2: Fixed Fee Per Case ($)]]</f>
        <v>0</v>
      </c>
      <c r="W14" s="71" t="e">
        <f>(Table14[[#This Row],[Commercial Bid Price per case for NOI ($)]]+Table14[[#This Row],[Region 2: Fixed Fee Per Case ($)]])/Table14[[#This Row],['# of CN Servings per case]]</f>
        <v>#DIV/0!</v>
      </c>
      <c r="X14" s="72" t="e">
        <f>Table14[[#This Row],[Total Cost Per Serving (O+Q)/J]]*Table14[[#This Row],[Estimated Servings Annual]]</f>
        <v>#DIV/0!</v>
      </c>
    </row>
    <row r="15" spans="1:24" x14ac:dyDescent="0.35">
      <c r="A15" s="30" t="s">
        <v>27</v>
      </c>
      <c r="B15" s="12" t="s">
        <v>84</v>
      </c>
      <c r="C15" s="7" t="s">
        <v>13</v>
      </c>
      <c r="D15" s="7"/>
      <c r="E15" s="7"/>
      <c r="F15" s="7"/>
      <c r="G15" s="7"/>
      <c r="H15" s="7"/>
      <c r="I15" s="7"/>
      <c r="J15" s="7"/>
      <c r="K15" s="49">
        <v>100000</v>
      </c>
      <c r="L15" s="7"/>
      <c r="M15" s="7"/>
      <c r="N15" s="7"/>
      <c r="O15" s="7"/>
      <c r="P15" s="7"/>
      <c r="Q15" s="7"/>
      <c r="R15" s="7"/>
      <c r="S15" s="70">
        <f>(Table14[[#This Row],[Commercial Bid Price per case for NOI ($)]]-Table14[[#This Row],[Pass-Thru Value per case ($)]])+Table14[[#This Row],[Region 1: Fixed Fee Per Case ($)]]</f>
        <v>0</v>
      </c>
      <c r="T15" s="71" t="e">
        <f>(Table14[[#This Row],[Commercial Bid Price per case for NOI ($)]]+Table14[[#This Row],[Region 1: Fixed Fee Per Case ($)]])/Table14[[#This Row],['# of CN Servings per case]]</f>
        <v>#DIV/0!</v>
      </c>
      <c r="U15" s="71" t="e">
        <f>Table14[[#This Row],[Total Cost Per Serving (O+P)/J]]*Table14[[#This Row],[Estimated Servings Annual]]</f>
        <v>#DIV/0!</v>
      </c>
      <c r="V15" s="70">
        <f>(Table14[[#This Row],[Commercial Bid Price per case for NOI ($)]]-Table14[[#This Row],[Pass-Thru Value per case ($)]])+Table14[[#This Row],[Region 2: Fixed Fee Per Case ($)]]</f>
        <v>0</v>
      </c>
      <c r="W15" s="71" t="e">
        <f>(Table14[[#This Row],[Commercial Bid Price per case for NOI ($)]]+Table14[[#This Row],[Region 2: Fixed Fee Per Case ($)]])/Table14[[#This Row],['# of CN Servings per case]]</f>
        <v>#DIV/0!</v>
      </c>
      <c r="X15" s="72" t="e">
        <f>Table14[[#This Row],[Total Cost Per Serving (O+Q)/J]]*Table14[[#This Row],[Estimated Servings Annual]]</f>
        <v>#DIV/0!</v>
      </c>
    </row>
    <row r="16" spans="1:24" x14ac:dyDescent="0.35">
      <c r="A16" s="30" t="s">
        <v>27</v>
      </c>
      <c r="B16" s="12" t="s">
        <v>84</v>
      </c>
      <c r="C16" s="7" t="s">
        <v>13</v>
      </c>
      <c r="D16" s="7"/>
      <c r="E16" s="7"/>
      <c r="F16" s="7"/>
      <c r="G16" s="7"/>
      <c r="H16" s="7"/>
      <c r="I16" s="7"/>
      <c r="J16" s="7"/>
      <c r="K16" s="49">
        <v>100000</v>
      </c>
      <c r="L16" s="7"/>
      <c r="M16" s="7"/>
      <c r="N16" s="7"/>
      <c r="O16" s="7"/>
      <c r="P16" s="7"/>
      <c r="Q16" s="7"/>
      <c r="R16" s="7"/>
      <c r="S16" s="70">
        <f>(Table14[[#This Row],[Commercial Bid Price per case for NOI ($)]]-Table14[[#This Row],[Pass-Thru Value per case ($)]])+Table14[[#This Row],[Region 1: Fixed Fee Per Case ($)]]</f>
        <v>0</v>
      </c>
      <c r="T16" s="71" t="e">
        <f>(Table14[[#This Row],[Commercial Bid Price per case for NOI ($)]]+Table14[[#This Row],[Region 1: Fixed Fee Per Case ($)]])/Table14[[#This Row],['# of CN Servings per case]]</f>
        <v>#DIV/0!</v>
      </c>
      <c r="U16" s="71" t="e">
        <f>Table14[[#This Row],[Total Cost Per Serving (O+P)/J]]*Table14[[#This Row],[Estimated Servings Annual]]</f>
        <v>#DIV/0!</v>
      </c>
      <c r="V16" s="70">
        <f>(Table14[[#This Row],[Commercial Bid Price per case for NOI ($)]]-Table14[[#This Row],[Pass-Thru Value per case ($)]])+Table14[[#This Row],[Region 2: Fixed Fee Per Case ($)]]</f>
        <v>0</v>
      </c>
      <c r="W16" s="71" t="e">
        <f>(Table14[[#This Row],[Commercial Bid Price per case for NOI ($)]]+Table14[[#This Row],[Region 2: Fixed Fee Per Case ($)]])/Table14[[#This Row],['# of CN Servings per case]]</f>
        <v>#DIV/0!</v>
      </c>
      <c r="X16" s="72" t="e">
        <f>Table14[[#This Row],[Total Cost Per Serving (O+Q)/J]]*Table14[[#This Row],[Estimated Servings Annual]]</f>
        <v>#DIV/0!</v>
      </c>
    </row>
    <row r="17" spans="1:24" x14ac:dyDescent="0.35">
      <c r="A17" s="30" t="s">
        <v>27</v>
      </c>
      <c r="B17" s="12" t="s">
        <v>84</v>
      </c>
      <c r="C17" s="7" t="s">
        <v>13</v>
      </c>
      <c r="D17" s="7"/>
      <c r="E17" s="7"/>
      <c r="F17" s="7"/>
      <c r="G17" s="7"/>
      <c r="H17" s="7"/>
      <c r="I17" s="7"/>
      <c r="J17" s="7"/>
      <c r="K17" s="49">
        <v>100000</v>
      </c>
      <c r="L17" s="7"/>
      <c r="M17" s="7"/>
      <c r="N17" s="7"/>
      <c r="O17" s="7"/>
      <c r="P17" s="7"/>
      <c r="Q17" s="7"/>
      <c r="R17" s="7"/>
      <c r="S17" s="70">
        <f>(Table14[[#This Row],[Commercial Bid Price per case for NOI ($)]]-Table14[[#This Row],[Pass-Thru Value per case ($)]])+Table14[[#This Row],[Region 1: Fixed Fee Per Case ($)]]</f>
        <v>0</v>
      </c>
      <c r="T17" s="71" t="e">
        <f>(Table14[[#This Row],[Commercial Bid Price per case for NOI ($)]]+Table14[[#This Row],[Region 1: Fixed Fee Per Case ($)]])/Table14[[#This Row],['# of CN Servings per case]]</f>
        <v>#DIV/0!</v>
      </c>
      <c r="U17" s="71" t="e">
        <f>Table14[[#This Row],[Total Cost Per Serving (O+P)/J]]*Table14[[#This Row],[Estimated Servings Annual]]</f>
        <v>#DIV/0!</v>
      </c>
      <c r="V17" s="70">
        <f>(Table14[[#This Row],[Commercial Bid Price per case for NOI ($)]]-Table14[[#This Row],[Pass-Thru Value per case ($)]])+Table14[[#This Row],[Region 2: Fixed Fee Per Case ($)]]</f>
        <v>0</v>
      </c>
      <c r="W17" s="71" t="e">
        <f>(Table14[[#This Row],[Commercial Bid Price per case for NOI ($)]]+Table14[[#This Row],[Region 2: Fixed Fee Per Case ($)]])/Table14[[#This Row],['# of CN Servings per case]]</f>
        <v>#DIV/0!</v>
      </c>
      <c r="X17" s="72" t="e">
        <f>Table14[[#This Row],[Total Cost Per Serving (O+Q)/J]]*Table14[[#This Row],[Estimated Servings Annual]]</f>
        <v>#DIV/0!</v>
      </c>
    </row>
    <row r="18" spans="1:24" ht="15" thickBot="1" x14ac:dyDescent="0.4">
      <c r="A18" s="30" t="s">
        <v>27</v>
      </c>
      <c r="B18" s="13" t="s">
        <v>84</v>
      </c>
      <c r="C18" s="8" t="s">
        <v>13</v>
      </c>
      <c r="D18" s="8"/>
      <c r="E18" s="8"/>
      <c r="F18" s="8"/>
      <c r="G18" s="8"/>
      <c r="H18" s="8"/>
      <c r="I18" s="8"/>
      <c r="J18" s="8"/>
      <c r="K18" s="50">
        <v>100000</v>
      </c>
      <c r="L18" s="8"/>
      <c r="M18" s="8"/>
      <c r="N18" s="8"/>
      <c r="O18" s="8"/>
      <c r="P18" s="8"/>
      <c r="Q18" s="8"/>
      <c r="R18" s="8"/>
      <c r="S18" s="73">
        <f>(Table14[[#This Row],[Commercial Bid Price per case for NOI ($)]]-Table14[[#This Row],[Pass-Thru Value per case ($)]])+Table14[[#This Row],[Region 1: Fixed Fee Per Case ($)]]</f>
        <v>0</v>
      </c>
      <c r="T18" s="74" t="e">
        <f>(Table14[[#This Row],[Commercial Bid Price per case for NOI ($)]]+Table14[[#This Row],[Region 1: Fixed Fee Per Case ($)]])/Table14[[#This Row],['# of CN Servings per case]]</f>
        <v>#DIV/0!</v>
      </c>
      <c r="U18" s="74" t="e">
        <f>Table14[[#This Row],[Total Cost Per Serving (O+P)/J]]*Table14[[#This Row],[Estimated Servings Annual]]</f>
        <v>#DIV/0!</v>
      </c>
      <c r="V18" s="73">
        <f>(Table14[[#This Row],[Commercial Bid Price per case for NOI ($)]]-Table14[[#This Row],[Pass-Thru Value per case ($)]])+Table14[[#This Row],[Region 2: Fixed Fee Per Case ($)]]</f>
        <v>0</v>
      </c>
      <c r="W18" s="74" t="e">
        <f>(Table14[[#This Row],[Commercial Bid Price per case for NOI ($)]]+Table14[[#This Row],[Region 2: Fixed Fee Per Case ($)]])/Table14[[#This Row],['# of CN Servings per case]]</f>
        <v>#DIV/0!</v>
      </c>
      <c r="X18" s="75" t="e">
        <f>Table14[[#This Row],[Total Cost Per Serving (O+Q)/J]]*Table14[[#This Row],[Estimated Servings Annual]]</f>
        <v>#DIV/0!</v>
      </c>
    </row>
    <row r="19" spans="1:24" x14ac:dyDescent="0.35">
      <c r="A19" s="30" t="s">
        <v>27</v>
      </c>
      <c r="B19" s="11" t="s">
        <v>44</v>
      </c>
      <c r="C19" s="6" t="s">
        <v>64</v>
      </c>
      <c r="D19" s="6"/>
      <c r="E19" s="6"/>
      <c r="F19" s="6"/>
      <c r="G19" s="6"/>
      <c r="H19" s="6"/>
      <c r="I19" s="6"/>
      <c r="J19" s="6"/>
      <c r="K19" s="48">
        <v>950000</v>
      </c>
      <c r="L19" s="6"/>
      <c r="M19" s="6"/>
      <c r="N19" s="6"/>
      <c r="O19" s="6"/>
      <c r="P19" s="6"/>
      <c r="Q19" s="6"/>
      <c r="R19" s="6"/>
      <c r="S19" s="67">
        <f>(Table14[[#This Row],[Commercial Bid Price per case for NOI ($)]]-Table14[[#This Row],[Pass-Thru Value per case ($)]])+Table14[[#This Row],[Region 1: Fixed Fee Per Case ($)]]</f>
        <v>0</v>
      </c>
      <c r="T19" s="68" t="e">
        <f>(Table14[[#This Row],[Commercial Bid Price per case for NOI ($)]]+Table14[[#This Row],[Region 1: Fixed Fee Per Case ($)]])/Table14[[#This Row],['# of CN Servings per case]]</f>
        <v>#DIV/0!</v>
      </c>
      <c r="U19" s="68" t="e">
        <f>Table14[[#This Row],[Total Cost Per Serving (O+P)/J]]*Table14[[#This Row],[Estimated Servings Annual]]</f>
        <v>#DIV/0!</v>
      </c>
      <c r="V19" s="67">
        <f>(Table14[[#This Row],[Commercial Bid Price per case for NOI ($)]]-Table14[[#This Row],[Pass-Thru Value per case ($)]])+Table14[[#This Row],[Region 2: Fixed Fee Per Case ($)]]</f>
        <v>0</v>
      </c>
      <c r="W19" s="68" t="e">
        <f>(Table14[[#This Row],[Commercial Bid Price per case for NOI ($)]]+Table14[[#This Row],[Region 2: Fixed Fee Per Case ($)]])/Table14[[#This Row],['# of CN Servings per case]]</f>
        <v>#DIV/0!</v>
      </c>
      <c r="X19" s="69" t="e">
        <f>Table14[[#This Row],[Total Cost Per Serving (O+Q)/J]]*Table14[[#This Row],[Estimated Servings Annual]]</f>
        <v>#DIV/0!</v>
      </c>
    </row>
    <row r="20" spans="1:24" x14ac:dyDescent="0.35">
      <c r="A20" s="30" t="s">
        <v>27</v>
      </c>
      <c r="B20" s="12" t="s">
        <v>44</v>
      </c>
      <c r="C20" s="7" t="s">
        <v>64</v>
      </c>
      <c r="D20" s="7"/>
      <c r="E20" s="7"/>
      <c r="F20" s="7"/>
      <c r="G20" s="7"/>
      <c r="H20" s="7"/>
      <c r="I20" s="7"/>
      <c r="J20" s="7"/>
      <c r="K20" s="49">
        <v>950000</v>
      </c>
      <c r="L20" s="7"/>
      <c r="M20" s="7"/>
      <c r="N20" s="7"/>
      <c r="O20" s="7"/>
      <c r="P20" s="7"/>
      <c r="Q20" s="7"/>
      <c r="R20" s="7"/>
      <c r="S20" s="70">
        <f>(Table14[[#This Row],[Commercial Bid Price per case for NOI ($)]]-Table14[[#This Row],[Pass-Thru Value per case ($)]])+Table14[[#This Row],[Region 1: Fixed Fee Per Case ($)]]</f>
        <v>0</v>
      </c>
      <c r="T20" s="71" t="e">
        <f>(Table14[[#This Row],[Commercial Bid Price per case for NOI ($)]]+Table14[[#This Row],[Region 1: Fixed Fee Per Case ($)]])/Table14[[#This Row],['# of CN Servings per case]]</f>
        <v>#DIV/0!</v>
      </c>
      <c r="U20" s="71" t="e">
        <f>Table14[[#This Row],[Total Cost Per Serving (O+P)/J]]*Table14[[#This Row],[Estimated Servings Annual]]</f>
        <v>#DIV/0!</v>
      </c>
      <c r="V20" s="70">
        <f>(Table14[[#This Row],[Commercial Bid Price per case for NOI ($)]]-Table14[[#This Row],[Pass-Thru Value per case ($)]])+Table14[[#This Row],[Region 2: Fixed Fee Per Case ($)]]</f>
        <v>0</v>
      </c>
      <c r="W20" s="71" t="e">
        <f>(Table14[[#This Row],[Commercial Bid Price per case for NOI ($)]]+Table14[[#This Row],[Region 2: Fixed Fee Per Case ($)]])/Table14[[#This Row],['# of CN Servings per case]]</f>
        <v>#DIV/0!</v>
      </c>
      <c r="X20" s="72" t="e">
        <f>Table14[[#This Row],[Total Cost Per Serving (O+Q)/J]]*Table14[[#This Row],[Estimated Servings Annual]]</f>
        <v>#DIV/0!</v>
      </c>
    </row>
    <row r="21" spans="1:24" x14ac:dyDescent="0.35">
      <c r="A21" s="30" t="s">
        <v>27</v>
      </c>
      <c r="B21" s="12" t="s">
        <v>44</v>
      </c>
      <c r="C21" s="7" t="s">
        <v>50</v>
      </c>
      <c r="D21" s="7"/>
      <c r="E21" s="7"/>
      <c r="F21" s="7"/>
      <c r="G21" s="7"/>
      <c r="H21" s="7"/>
      <c r="I21" s="7"/>
      <c r="J21" s="7"/>
      <c r="K21" s="49">
        <v>950000</v>
      </c>
      <c r="L21" s="7"/>
      <c r="M21" s="7"/>
      <c r="N21" s="7"/>
      <c r="O21" s="7"/>
      <c r="P21" s="7"/>
      <c r="Q21" s="7"/>
      <c r="R21" s="7"/>
      <c r="S21" s="70">
        <f>(Table14[[#This Row],[Commercial Bid Price per case for NOI ($)]]-Table14[[#This Row],[Pass-Thru Value per case ($)]])+Table14[[#This Row],[Region 1: Fixed Fee Per Case ($)]]</f>
        <v>0</v>
      </c>
      <c r="T21" s="71" t="e">
        <f>(Table14[[#This Row],[Commercial Bid Price per case for NOI ($)]]+Table14[[#This Row],[Region 1: Fixed Fee Per Case ($)]])/Table14[[#This Row],['# of CN Servings per case]]</f>
        <v>#DIV/0!</v>
      </c>
      <c r="U21" s="71" t="e">
        <f>Table14[[#This Row],[Total Cost Per Serving (O+P)/J]]*Table14[[#This Row],[Estimated Servings Annual]]</f>
        <v>#DIV/0!</v>
      </c>
      <c r="V21" s="70">
        <f>(Table14[[#This Row],[Commercial Bid Price per case for NOI ($)]]-Table14[[#This Row],[Pass-Thru Value per case ($)]])+Table14[[#This Row],[Region 2: Fixed Fee Per Case ($)]]</f>
        <v>0</v>
      </c>
      <c r="W21" s="71" t="e">
        <f>(Table14[[#This Row],[Commercial Bid Price per case for NOI ($)]]+Table14[[#This Row],[Region 2: Fixed Fee Per Case ($)]])/Table14[[#This Row],['# of CN Servings per case]]</f>
        <v>#DIV/0!</v>
      </c>
      <c r="X21" s="72" t="e">
        <f>Table14[[#This Row],[Total Cost Per Serving (O+Q)/J]]*Table14[[#This Row],[Estimated Servings Annual]]</f>
        <v>#DIV/0!</v>
      </c>
    </row>
    <row r="22" spans="1:24" x14ac:dyDescent="0.35">
      <c r="A22" s="30" t="s">
        <v>27</v>
      </c>
      <c r="B22" s="12" t="s">
        <v>44</v>
      </c>
      <c r="C22" s="7" t="s">
        <v>50</v>
      </c>
      <c r="D22" s="7"/>
      <c r="E22" s="7"/>
      <c r="F22" s="7"/>
      <c r="G22" s="7"/>
      <c r="H22" s="7"/>
      <c r="I22" s="7"/>
      <c r="J22" s="7"/>
      <c r="K22" s="49">
        <v>950000</v>
      </c>
      <c r="L22" s="7"/>
      <c r="M22" s="7"/>
      <c r="N22" s="7"/>
      <c r="O22" s="7"/>
      <c r="P22" s="7"/>
      <c r="Q22" s="7"/>
      <c r="R22" s="7"/>
      <c r="S22" s="70">
        <f>(Table14[[#This Row],[Commercial Bid Price per case for NOI ($)]]-Table14[[#This Row],[Pass-Thru Value per case ($)]])+Table14[[#This Row],[Region 1: Fixed Fee Per Case ($)]]</f>
        <v>0</v>
      </c>
      <c r="T22" s="71" t="e">
        <f>(Table14[[#This Row],[Commercial Bid Price per case for NOI ($)]]+Table14[[#This Row],[Region 1: Fixed Fee Per Case ($)]])/Table14[[#This Row],['# of CN Servings per case]]</f>
        <v>#DIV/0!</v>
      </c>
      <c r="U22" s="71" t="e">
        <f>Table14[[#This Row],[Total Cost Per Serving (O+P)/J]]*Table14[[#This Row],[Estimated Servings Annual]]</f>
        <v>#DIV/0!</v>
      </c>
      <c r="V22" s="70">
        <f>(Table14[[#This Row],[Commercial Bid Price per case for NOI ($)]]-Table14[[#This Row],[Pass-Thru Value per case ($)]])+Table14[[#This Row],[Region 2: Fixed Fee Per Case ($)]]</f>
        <v>0</v>
      </c>
      <c r="W22" s="71" t="e">
        <f>(Table14[[#This Row],[Commercial Bid Price per case for NOI ($)]]+Table14[[#This Row],[Region 2: Fixed Fee Per Case ($)]])/Table14[[#This Row],['# of CN Servings per case]]</f>
        <v>#DIV/0!</v>
      </c>
      <c r="X22" s="72" t="e">
        <f>Table14[[#This Row],[Total Cost Per Serving (O+Q)/J]]*Table14[[#This Row],[Estimated Servings Annual]]</f>
        <v>#DIV/0!</v>
      </c>
    </row>
    <row r="23" spans="1:24" x14ac:dyDescent="0.35">
      <c r="A23" s="30" t="s">
        <v>27</v>
      </c>
      <c r="B23" s="12" t="s">
        <v>44</v>
      </c>
      <c r="C23" s="7" t="s">
        <v>13</v>
      </c>
      <c r="D23" s="7"/>
      <c r="E23" s="7"/>
      <c r="F23" s="7"/>
      <c r="G23" s="7"/>
      <c r="H23" s="7"/>
      <c r="I23" s="7"/>
      <c r="J23" s="7"/>
      <c r="K23" s="49">
        <v>950000</v>
      </c>
      <c r="L23" s="7"/>
      <c r="M23" s="7"/>
      <c r="N23" s="7"/>
      <c r="O23" s="7"/>
      <c r="P23" s="7"/>
      <c r="Q23" s="7"/>
      <c r="R23" s="7"/>
      <c r="S23" s="70">
        <f>(Table14[[#This Row],[Commercial Bid Price per case for NOI ($)]]-Table14[[#This Row],[Pass-Thru Value per case ($)]])+Table14[[#This Row],[Region 1: Fixed Fee Per Case ($)]]</f>
        <v>0</v>
      </c>
      <c r="T23" s="71" t="e">
        <f>(Table14[[#This Row],[Commercial Bid Price per case for NOI ($)]]+Table14[[#This Row],[Region 1: Fixed Fee Per Case ($)]])/Table14[[#This Row],['# of CN Servings per case]]</f>
        <v>#DIV/0!</v>
      </c>
      <c r="U23" s="71" t="e">
        <f>Table14[[#This Row],[Total Cost Per Serving (O+P)/J]]*Table14[[#This Row],[Estimated Servings Annual]]</f>
        <v>#DIV/0!</v>
      </c>
      <c r="V23" s="70">
        <f>(Table14[[#This Row],[Commercial Bid Price per case for NOI ($)]]-Table14[[#This Row],[Pass-Thru Value per case ($)]])+Table14[[#This Row],[Region 2: Fixed Fee Per Case ($)]]</f>
        <v>0</v>
      </c>
      <c r="W23" s="71" t="e">
        <f>(Table14[[#This Row],[Commercial Bid Price per case for NOI ($)]]+Table14[[#This Row],[Region 2: Fixed Fee Per Case ($)]])/Table14[[#This Row],['# of CN Servings per case]]</f>
        <v>#DIV/0!</v>
      </c>
      <c r="X23" s="72" t="e">
        <f>Table14[[#This Row],[Total Cost Per Serving (O+Q)/J]]*Table14[[#This Row],[Estimated Servings Annual]]</f>
        <v>#DIV/0!</v>
      </c>
    </row>
    <row r="24" spans="1:24" x14ac:dyDescent="0.35">
      <c r="A24" s="30" t="s">
        <v>27</v>
      </c>
      <c r="B24" s="12" t="s">
        <v>44</v>
      </c>
      <c r="C24" s="7" t="s">
        <v>13</v>
      </c>
      <c r="D24" s="7"/>
      <c r="E24" s="7"/>
      <c r="F24" s="7"/>
      <c r="G24" s="7"/>
      <c r="H24" s="7"/>
      <c r="I24" s="7"/>
      <c r="J24" s="7"/>
      <c r="K24" s="49">
        <v>950000</v>
      </c>
      <c r="L24" s="7"/>
      <c r="M24" s="7"/>
      <c r="N24" s="7"/>
      <c r="O24" s="7"/>
      <c r="P24" s="7"/>
      <c r="Q24" s="7"/>
      <c r="R24" s="7"/>
      <c r="S24" s="70">
        <f>(Table14[[#This Row],[Commercial Bid Price per case for NOI ($)]]-Table14[[#This Row],[Pass-Thru Value per case ($)]])+Table14[[#This Row],[Region 1: Fixed Fee Per Case ($)]]</f>
        <v>0</v>
      </c>
      <c r="T24" s="71" t="e">
        <f>(Table14[[#This Row],[Commercial Bid Price per case for NOI ($)]]+Table14[[#This Row],[Region 1: Fixed Fee Per Case ($)]])/Table14[[#This Row],['# of CN Servings per case]]</f>
        <v>#DIV/0!</v>
      </c>
      <c r="U24" s="71" t="e">
        <f>Table14[[#This Row],[Total Cost Per Serving (O+P)/J]]*Table14[[#This Row],[Estimated Servings Annual]]</f>
        <v>#DIV/0!</v>
      </c>
      <c r="V24" s="70">
        <f>(Table14[[#This Row],[Commercial Bid Price per case for NOI ($)]]-Table14[[#This Row],[Pass-Thru Value per case ($)]])+Table14[[#This Row],[Region 2: Fixed Fee Per Case ($)]]</f>
        <v>0</v>
      </c>
      <c r="W24" s="71" t="e">
        <f>(Table14[[#This Row],[Commercial Bid Price per case for NOI ($)]]+Table14[[#This Row],[Region 2: Fixed Fee Per Case ($)]])/Table14[[#This Row],['# of CN Servings per case]]</f>
        <v>#DIV/0!</v>
      </c>
      <c r="X24" s="72" t="e">
        <f>Table14[[#This Row],[Total Cost Per Serving (O+Q)/J]]*Table14[[#This Row],[Estimated Servings Annual]]</f>
        <v>#DIV/0!</v>
      </c>
    </row>
    <row r="25" spans="1:24" x14ac:dyDescent="0.35">
      <c r="A25" s="30" t="s">
        <v>27</v>
      </c>
      <c r="B25" s="12" t="s">
        <v>44</v>
      </c>
      <c r="C25" s="7" t="s">
        <v>13</v>
      </c>
      <c r="D25" s="7"/>
      <c r="E25" s="7"/>
      <c r="F25" s="7"/>
      <c r="G25" s="7"/>
      <c r="H25" s="7"/>
      <c r="I25" s="7"/>
      <c r="J25" s="7"/>
      <c r="K25" s="49">
        <v>950000</v>
      </c>
      <c r="L25" s="7"/>
      <c r="M25" s="7"/>
      <c r="N25" s="7"/>
      <c r="O25" s="7"/>
      <c r="P25" s="7"/>
      <c r="Q25" s="7"/>
      <c r="R25" s="7"/>
      <c r="S25" s="70">
        <f>(Table14[[#This Row],[Commercial Bid Price per case for NOI ($)]]-Table14[[#This Row],[Pass-Thru Value per case ($)]])+Table14[[#This Row],[Region 1: Fixed Fee Per Case ($)]]</f>
        <v>0</v>
      </c>
      <c r="T25" s="71" t="e">
        <f>(Table14[[#This Row],[Commercial Bid Price per case for NOI ($)]]+Table14[[#This Row],[Region 1: Fixed Fee Per Case ($)]])/Table14[[#This Row],['# of CN Servings per case]]</f>
        <v>#DIV/0!</v>
      </c>
      <c r="U25" s="71" t="e">
        <f>Table14[[#This Row],[Total Cost Per Serving (O+P)/J]]*Table14[[#This Row],[Estimated Servings Annual]]</f>
        <v>#DIV/0!</v>
      </c>
      <c r="V25" s="70">
        <f>(Table14[[#This Row],[Commercial Bid Price per case for NOI ($)]]-Table14[[#This Row],[Pass-Thru Value per case ($)]])+Table14[[#This Row],[Region 2: Fixed Fee Per Case ($)]]</f>
        <v>0</v>
      </c>
      <c r="W25" s="71" t="e">
        <f>(Table14[[#This Row],[Commercial Bid Price per case for NOI ($)]]+Table14[[#This Row],[Region 2: Fixed Fee Per Case ($)]])/Table14[[#This Row],['# of CN Servings per case]]</f>
        <v>#DIV/0!</v>
      </c>
      <c r="X25" s="72" t="e">
        <f>Table14[[#This Row],[Total Cost Per Serving (O+Q)/J]]*Table14[[#This Row],[Estimated Servings Annual]]</f>
        <v>#DIV/0!</v>
      </c>
    </row>
    <row r="26" spans="1:24" ht="15" thickBot="1" x14ac:dyDescent="0.4">
      <c r="A26" s="30" t="s">
        <v>27</v>
      </c>
      <c r="B26" s="13" t="s">
        <v>44</v>
      </c>
      <c r="C26" s="8" t="s">
        <v>13</v>
      </c>
      <c r="D26" s="8"/>
      <c r="E26" s="8"/>
      <c r="F26" s="8"/>
      <c r="G26" s="8"/>
      <c r="H26" s="8"/>
      <c r="I26" s="8"/>
      <c r="J26" s="8"/>
      <c r="K26" s="50">
        <v>950000</v>
      </c>
      <c r="L26" s="8"/>
      <c r="M26" s="8"/>
      <c r="N26" s="8"/>
      <c r="O26" s="8"/>
      <c r="P26" s="8"/>
      <c r="Q26" s="8"/>
      <c r="R26" s="8"/>
      <c r="S26" s="73">
        <f>(Table14[[#This Row],[Commercial Bid Price per case for NOI ($)]]-Table14[[#This Row],[Pass-Thru Value per case ($)]])+Table14[[#This Row],[Region 1: Fixed Fee Per Case ($)]]</f>
        <v>0</v>
      </c>
      <c r="T26" s="74" t="e">
        <f>(Table14[[#This Row],[Commercial Bid Price per case for NOI ($)]]+Table14[[#This Row],[Region 1: Fixed Fee Per Case ($)]])/Table14[[#This Row],['# of CN Servings per case]]</f>
        <v>#DIV/0!</v>
      </c>
      <c r="U26" s="74" t="e">
        <f>Table14[[#This Row],[Total Cost Per Serving (O+P)/J]]*Table14[[#This Row],[Estimated Servings Annual]]</f>
        <v>#DIV/0!</v>
      </c>
      <c r="V26" s="73">
        <f>(Table14[[#This Row],[Commercial Bid Price per case for NOI ($)]]-Table14[[#This Row],[Pass-Thru Value per case ($)]])+Table14[[#This Row],[Region 2: Fixed Fee Per Case ($)]]</f>
        <v>0</v>
      </c>
      <c r="W26" s="74" t="e">
        <f>(Table14[[#This Row],[Commercial Bid Price per case for NOI ($)]]+Table14[[#This Row],[Region 2: Fixed Fee Per Case ($)]])/Table14[[#This Row],['# of CN Servings per case]]</f>
        <v>#DIV/0!</v>
      </c>
      <c r="X26" s="75" t="e">
        <f>Table14[[#This Row],[Total Cost Per Serving (O+Q)/J]]*Table14[[#This Row],[Estimated Servings Annual]]</f>
        <v>#DIV/0!</v>
      </c>
    </row>
    <row r="27" spans="1:24" x14ac:dyDescent="0.35">
      <c r="A27" s="30" t="s">
        <v>27</v>
      </c>
      <c r="B27" s="11" t="s">
        <v>45</v>
      </c>
      <c r="C27" s="6" t="s">
        <v>64</v>
      </c>
      <c r="D27" s="6"/>
      <c r="E27" s="6"/>
      <c r="F27" s="6"/>
      <c r="G27" s="6"/>
      <c r="H27" s="6"/>
      <c r="I27" s="6"/>
      <c r="J27" s="6"/>
      <c r="K27" s="48">
        <v>950000</v>
      </c>
      <c r="L27" s="6"/>
      <c r="M27" s="6"/>
      <c r="N27" s="6"/>
      <c r="O27" s="6"/>
      <c r="P27" s="6"/>
      <c r="Q27" s="6"/>
      <c r="R27" s="6"/>
      <c r="S27" s="67">
        <f>(Table14[[#This Row],[Commercial Bid Price per case for NOI ($)]]-Table14[[#This Row],[Pass-Thru Value per case ($)]])+Table14[[#This Row],[Region 1: Fixed Fee Per Case ($)]]</f>
        <v>0</v>
      </c>
      <c r="T27" s="68" t="e">
        <f>(Table14[[#This Row],[Commercial Bid Price per case for NOI ($)]]+Table14[[#This Row],[Region 1: Fixed Fee Per Case ($)]])/Table14[[#This Row],['# of CN Servings per case]]</f>
        <v>#DIV/0!</v>
      </c>
      <c r="U27" s="68" t="e">
        <f>Table14[[#This Row],[Total Cost Per Serving (O+P)/J]]*Table14[[#This Row],[Estimated Servings Annual]]</f>
        <v>#DIV/0!</v>
      </c>
      <c r="V27" s="67">
        <f>(Table14[[#This Row],[Commercial Bid Price per case for NOI ($)]]-Table14[[#This Row],[Pass-Thru Value per case ($)]])+Table14[[#This Row],[Region 2: Fixed Fee Per Case ($)]]</f>
        <v>0</v>
      </c>
      <c r="W27" s="68" t="e">
        <f>(Table14[[#This Row],[Commercial Bid Price per case for NOI ($)]]+Table14[[#This Row],[Region 2: Fixed Fee Per Case ($)]])/Table14[[#This Row],['# of CN Servings per case]]</f>
        <v>#DIV/0!</v>
      </c>
      <c r="X27" s="69" t="e">
        <f>Table14[[#This Row],[Total Cost Per Serving (O+Q)/J]]*Table14[[#This Row],[Estimated Servings Annual]]</f>
        <v>#DIV/0!</v>
      </c>
    </row>
    <row r="28" spans="1:24" x14ac:dyDescent="0.35">
      <c r="A28" s="30" t="s">
        <v>27</v>
      </c>
      <c r="B28" s="12" t="s">
        <v>45</v>
      </c>
      <c r="C28" s="7" t="s">
        <v>64</v>
      </c>
      <c r="D28" s="7"/>
      <c r="E28" s="7"/>
      <c r="F28" s="7"/>
      <c r="G28" s="7"/>
      <c r="H28" s="7"/>
      <c r="I28" s="7"/>
      <c r="J28" s="7"/>
      <c r="K28" s="49">
        <v>950000</v>
      </c>
      <c r="L28" s="7"/>
      <c r="M28" s="7"/>
      <c r="N28" s="7"/>
      <c r="O28" s="7"/>
      <c r="P28" s="7"/>
      <c r="Q28" s="7"/>
      <c r="R28" s="7"/>
      <c r="S28" s="70">
        <f>(Table14[[#This Row],[Commercial Bid Price per case for NOI ($)]]-Table14[[#This Row],[Pass-Thru Value per case ($)]])+Table14[[#This Row],[Region 1: Fixed Fee Per Case ($)]]</f>
        <v>0</v>
      </c>
      <c r="T28" s="71" t="e">
        <f>(Table14[[#This Row],[Commercial Bid Price per case for NOI ($)]]+Table14[[#This Row],[Region 1: Fixed Fee Per Case ($)]])/Table14[[#This Row],['# of CN Servings per case]]</f>
        <v>#DIV/0!</v>
      </c>
      <c r="U28" s="71" t="e">
        <f>Table14[[#This Row],[Total Cost Per Serving (O+P)/J]]*Table14[[#This Row],[Estimated Servings Annual]]</f>
        <v>#DIV/0!</v>
      </c>
      <c r="V28" s="70">
        <f>(Table14[[#This Row],[Commercial Bid Price per case for NOI ($)]]-Table14[[#This Row],[Pass-Thru Value per case ($)]])+Table14[[#This Row],[Region 2: Fixed Fee Per Case ($)]]</f>
        <v>0</v>
      </c>
      <c r="W28" s="71" t="e">
        <f>(Table14[[#This Row],[Commercial Bid Price per case for NOI ($)]]+Table14[[#This Row],[Region 2: Fixed Fee Per Case ($)]])/Table14[[#This Row],['# of CN Servings per case]]</f>
        <v>#DIV/0!</v>
      </c>
      <c r="X28" s="72" t="e">
        <f>Table14[[#This Row],[Total Cost Per Serving (O+Q)/J]]*Table14[[#This Row],[Estimated Servings Annual]]</f>
        <v>#DIV/0!</v>
      </c>
    </row>
    <row r="29" spans="1:24" x14ac:dyDescent="0.35">
      <c r="A29" s="30" t="s">
        <v>27</v>
      </c>
      <c r="B29" s="12" t="s">
        <v>45</v>
      </c>
      <c r="C29" s="7" t="s">
        <v>50</v>
      </c>
      <c r="D29" s="7"/>
      <c r="E29" s="7"/>
      <c r="F29" s="7"/>
      <c r="G29" s="7"/>
      <c r="H29" s="7"/>
      <c r="I29" s="7"/>
      <c r="J29" s="7"/>
      <c r="K29" s="49">
        <v>950000</v>
      </c>
      <c r="L29" s="7"/>
      <c r="M29" s="7"/>
      <c r="N29" s="7"/>
      <c r="O29" s="7"/>
      <c r="P29" s="7"/>
      <c r="Q29" s="7"/>
      <c r="R29" s="7"/>
      <c r="S29" s="70">
        <f>(Table14[[#This Row],[Commercial Bid Price per case for NOI ($)]]-Table14[[#This Row],[Pass-Thru Value per case ($)]])+Table14[[#This Row],[Region 1: Fixed Fee Per Case ($)]]</f>
        <v>0</v>
      </c>
      <c r="T29" s="71" t="e">
        <f>(Table14[[#This Row],[Commercial Bid Price per case for NOI ($)]]+Table14[[#This Row],[Region 1: Fixed Fee Per Case ($)]])/Table14[[#This Row],['# of CN Servings per case]]</f>
        <v>#DIV/0!</v>
      </c>
      <c r="U29" s="71" t="e">
        <f>Table14[[#This Row],[Total Cost Per Serving (O+P)/J]]*Table14[[#This Row],[Estimated Servings Annual]]</f>
        <v>#DIV/0!</v>
      </c>
      <c r="V29" s="70">
        <f>(Table14[[#This Row],[Commercial Bid Price per case for NOI ($)]]-Table14[[#This Row],[Pass-Thru Value per case ($)]])+Table14[[#This Row],[Region 2: Fixed Fee Per Case ($)]]</f>
        <v>0</v>
      </c>
      <c r="W29" s="71" t="e">
        <f>(Table14[[#This Row],[Commercial Bid Price per case for NOI ($)]]+Table14[[#This Row],[Region 2: Fixed Fee Per Case ($)]])/Table14[[#This Row],['# of CN Servings per case]]</f>
        <v>#DIV/0!</v>
      </c>
      <c r="X29" s="72" t="e">
        <f>Table14[[#This Row],[Total Cost Per Serving (O+Q)/J]]*Table14[[#This Row],[Estimated Servings Annual]]</f>
        <v>#DIV/0!</v>
      </c>
    </row>
    <row r="30" spans="1:24" x14ac:dyDescent="0.35">
      <c r="A30" s="30" t="s">
        <v>27</v>
      </c>
      <c r="B30" s="12" t="s">
        <v>45</v>
      </c>
      <c r="C30" s="7" t="s">
        <v>50</v>
      </c>
      <c r="D30" s="7"/>
      <c r="E30" s="7"/>
      <c r="F30" s="7"/>
      <c r="G30" s="7"/>
      <c r="H30" s="7"/>
      <c r="I30" s="7"/>
      <c r="J30" s="7"/>
      <c r="K30" s="49">
        <v>950000</v>
      </c>
      <c r="L30" s="7"/>
      <c r="M30" s="7"/>
      <c r="N30" s="7"/>
      <c r="O30" s="7"/>
      <c r="P30" s="7"/>
      <c r="Q30" s="7"/>
      <c r="R30" s="7"/>
      <c r="S30" s="70">
        <f>(Table14[[#This Row],[Commercial Bid Price per case for NOI ($)]]-Table14[[#This Row],[Pass-Thru Value per case ($)]])+Table14[[#This Row],[Region 1: Fixed Fee Per Case ($)]]</f>
        <v>0</v>
      </c>
      <c r="T30" s="71" t="e">
        <f>(Table14[[#This Row],[Commercial Bid Price per case for NOI ($)]]+Table14[[#This Row],[Region 1: Fixed Fee Per Case ($)]])/Table14[[#This Row],['# of CN Servings per case]]</f>
        <v>#DIV/0!</v>
      </c>
      <c r="U30" s="71" t="e">
        <f>Table14[[#This Row],[Total Cost Per Serving (O+P)/J]]*Table14[[#This Row],[Estimated Servings Annual]]</f>
        <v>#DIV/0!</v>
      </c>
      <c r="V30" s="70">
        <f>(Table14[[#This Row],[Commercial Bid Price per case for NOI ($)]]-Table14[[#This Row],[Pass-Thru Value per case ($)]])+Table14[[#This Row],[Region 2: Fixed Fee Per Case ($)]]</f>
        <v>0</v>
      </c>
      <c r="W30" s="71" t="e">
        <f>(Table14[[#This Row],[Commercial Bid Price per case for NOI ($)]]+Table14[[#This Row],[Region 2: Fixed Fee Per Case ($)]])/Table14[[#This Row],['# of CN Servings per case]]</f>
        <v>#DIV/0!</v>
      </c>
      <c r="X30" s="72" t="e">
        <f>Table14[[#This Row],[Total Cost Per Serving (O+Q)/J]]*Table14[[#This Row],[Estimated Servings Annual]]</f>
        <v>#DIV/0!</v>
      </c>
    </row>
    <row r="31" spans="1:24" x14ac:dyDescent="0.35">
      <c r="A31" s="30" t="s">
        <v>27</v>
      </c>
      <c r="B31" s="12" t="s">
        <v>45</v>
      </c>
      <c r="C31" s="7" t="s">
        <v>13</v>
      </c>
      <c r="D31" s="7"/>
      <c r="E31" s="7"/>
      <c r="F31" s="7"/>
      <c r="G31" s="7"/>
      <c r="H31" s="7"/>
      <c r="I31" s="7"/>
      <c r="J31" s="7"/>
      <c r="K31" s="49">
        <v>950000</v>
      </c>
      <c r="L31" s="7"/>
      <c r="M31" s="7"/>
      <c r="N31" s="7"/>
      <c r="O31" s="7"/>
      <c r="P31" s="7"/>
      <c r="Q31" s="7"/>
      <c r="R31" s="7"/>
      <c r="S31" s="70">
        <f>(Table14[[#This Row],[Commercial Bid Price per case for NOI ($)]]-Table14[[#This Row],[Pass-Thru Value per case ($)]])+Table14[[#This Row],[Region 1: Fixed Fee Per Case ($)]]</f>
        <v>0</v>
      </c>
      <c r="T31" s="71" t="e">
        <f>(Table14[[#This Row],[Commercial Bid Price per case for NOI ($)]]+Table14[[#This Row],[Region 1: Fixed Fee Per Case ($)]])/Table14[[#This Row],['# of CN Servings per case]]</f>
        <v>#DIV/0!</v>
      </c>
      <c r="U31" s="71" t="e">
        <f>Table14[[#This Row],[Total Cost Per Serving (O+P)/J]]*Table14[[#This Row],[Estimated Servings Annual]]</f>
        <v>#DIV/0!</v>
      </c>
      <c r="V31" s="70">
        <f>(Table14[[#This Row],[Commercial Bid Price per case for NOI ($)]]-Table14[[#This Row],[Pass-Thru Value per case ($)]])+Table14[[#This Row],[Region 2: Fixed Fee Per Case ($)]]</f>
        <v>0</v>
      </c>
      <c r="W31" s="71" t="e">
        <f>(Table14[[#This Row],[Commercial Bid Price per case for NOI ($)]]+Table14[[#This Row],[Region 2: Fixed Fee Per Case ($)]])/Table14[[#This Row],['# of CN Servings per case]]</f>
        <v>#DIV/0!</v>
      </c>
      <c r="X31" s="72" t="e">
        <f>Table14[[#This Row],[Total Cost Per Serving (O+Q)/J]]*Table14[[#This Row],[Estimated Servings Annual]]</f>
        <v>#DIV/0!</v>
      </c>
    </row>
    <row r="32" spans="1:24" x14ac:dyDescent="0.35">
      <c r="A32" s="30" t="s">
        <v>27</v>
      </c>
      <c r="B32" s="12" t="s">
        <v>45</v>
      </c>
      <c r="C32" s="7" t="s">
        <v>13</v>
      </c>
      <c r="D32" s="7"/>
      <c r="E32" s="7"/>
      <c r="F32" s="7"/>
      <c r="G32" s="7"/>
      <c r="H32" s="7"/>
      <c r="I32" s="7"/>
      <c r="J32" s="7"/>
      <c r="K32" s="49">
        <v>950000</v>
      </c>
      <c r="L32" s="7"/>
      <c r="M32" s="7"/>
      <c r="N32" s="7"/>
      <c r="O32" s="7"/>
      <c r="P32" s="7"/>
      <c r="Q32" s="7"/>
      <c r="R32" s="7"/>
      <c r="S32" s="70">
        <f>(Table14[[#This Row],[Commercial Bid Price per case for NOI ($)]]-Table14[[#This Row],[Pass-Thru Value per case ($)]])+Table14[[#This Row],[Region 1: Fixed Fee Per Case ($)]]</f>
        <v>0</v>
      </c>
      <c r="T32" s="71" t="e">
        <f>(Table14[[#This Row],[Commercial Bid Price per case for NOI ($)]]+Table14[[#This Row],[Region 1: Fixed Fee Per Case ($)]])/Table14[[#This Row],['# of CN Servings per case]]</f>
        <v>#DIV/0!</v>
      </c>
      <c r="U32" s="71" t="e">
        <f>Table14[[#This Row],[Total Cost Per Serving (O+P)/J]]*Table14[[#This Row],[Estimated Servings Annual]]</f>
        <v>#DIV/0!</v>
      </c>
      <c r="V32" s="70">
        <f>(Table14[[#This Row],[Commercial Bid Price per case for NOI ($)]]-Table14[[#This Row],[Pass-Thru Value per case ($)]])+Table14[[#This Row],[Region 2: Fixed Fee Per Case ($)]]</f>
        <v>0</v>
      </c>
      <c r="W32" s="71" t="e">
        <f>(Table14[[#This Row],[Commercial Bid Price per case for NOI ($)]]+Table14[[#This Row],[Region 2: Fixed Fee Per Case ($)]])/Table14[[#This Row],['# of CN Servings per case]]</f>
        <v>#DIV/0!</v>
      </c>
      <c r="X32" s="72" t="e">
        <f>Table14[[#This Row],[Total Cost Per Serving (O+Q)/J]]*Table14[[#This Row],[Estimated Servings Annual]]</f>
        <v>#DIV/0!</v>
      </c>
    </row>
    <row r="33" spans="1:24" x14ac:dyDescent="0.35">
      <c r="A33" s="30" t="s">
        <v>27</v>
      </c>
      <c r="B33" s="12" t="s">
        <v>45</v>
      </c>
      <c r="C33" s="7" t="s">
        <v>13</v>
      </c>
      <c r="D33" s="7"/>
      <c r="E33" s="7"/>
      <c r="F33" s="7"/>
      <c r="G33" s="7"/>
      <c r="H33" s="7"/>
      <c r="I33" s="7"/>
      <c r="J33" s="7"/>
      <c r="K33" s="49">
        <v>950000</v>
      </c>
      <c r="L33" s="7"/>
      <c r="M33" s="7"/>
      <c r="N33" s="7"/>
      <c r="O33" s="7"/>
      <c r="P33" s="7"/>
      <c r="Q33" s="7"/>
      <c r="R33" s="7"/>
      <c r="S33" s="70">
        <f>(Table14[[#This Row],[Commercial Bid Price per case for NOI ($)]]-Table14[[#This Row],[Pass-Thru Value per case ($)]])+Table14[[#This Row],[Region 1: Fixed Fee Per Case ($)]]</f>
        <v>0</v>
      </c>
      <c r="T33" s="71" t="e">
        <f>(Table14[[#This Row],[Commercial Bid Price per case for NOI ($)]]+Table14[[#This Row],[Region 1: Fixed Fee Per Case ($)]])/Table14[[#This Row],['# of CN Servings per case]]</f>
        <v>#DIV/0!</v>
      </c>
      <c r="U33" s="71" t="e">
        <f>Table14[[#This Row],[Total Cost Per Serving (O+P)/J]]*Table14[[#This Row],[Estimated Servings Annual]]</f>
        <v>#DIV/0!</v>
      </c>
      <c r="V33" s="70">
        <f>(Table14[[#This Row],[Commercial Bid Price per case for NOI ($)]]-Table14[[#This Row],[Pass-Thru Value per case ($)]])+Table14[[#This Row],[Region 2: Fixed Fee Per Case ($)]]</f>
        <v>0</v>
      </c>
      <c r="W33" s="71" t="e">
        <f>(Table14[[#This Row],[Commercial Bid Price per case for NOI ($)]]+Table14[[#This Row],[Region 2: Fixed Fee Per Case ($)]])/Table14[[#This Row],['# of CN Servings per case]]</f>
        <v>#DIV/0!</v>
      </c>
      <c r="X33" s="72" t="e">
        <f>Table14[[#This Row],[Total Cost Per Serving (O+Q)/J]]*Table14[[#This Row],[Estimated Servings Annual]]</f>
        <v>#DIV/0!</v>
      </c>
    </row>
    <row r="34" spans="1:24" ht="15" thickBot="1" x14ac:dyDescent="0.4">
      <c r="A34" s="30" t="s">
        <v>27</v>
      </c>
      <c r="B34" s="13" t="s">
        <v>45</v>
      </c>
      <c r="C34" s="8" t="s">
        <v>13</v>
      </c>
      <c r="D34" s="8"/>
      <c r="E34" s="8"/>
      <c r="F34" s="8"/>
      <c r="G34" s="8"/>
      <c r="H34" s="8"/>
      <c r="I34" s="8"/>
      <c r="J34" s="8"/>
      <c r="K34" s="50">
        <v>950000</v>
      </c>
      <c r="L34" s="8"/>
      <c r="M34" s="8"/>
      <c r="N34" s="8"/>
      <c r="O34" s="8"/>
      <c r="P34" s="8"/>
      <c r="Q34" s="8"/>
      <c r="R34" s="8"/>
      <c r="S34" s="73">
        <f>(Table14[[#This Row],[Commercial Bid Price per case for NOI ($)]]-Table14[[#This Row],[Pass-Thru Value per case ($)]])+Table14[[#This Row],[Region 1: Fixed Fee Per Case ($)]]</f>
        <v>0</v>
      </c>
      <c r="T34" s="74" t="e">
        <f>(Table14[[#This Row],[Commercial Bid Price per case for NOI ($)]]+Table14[[#This Row],[Region 1: Fixed Fee Per Case ($)]])/Table14[[#This Row],['# of CN Servings per case]]</f>
        <v>#DIV/0!</v>
      </c>
      <c r="U34" s="74" t="e">
        <f>Table14[[#This Row],[Total Cost Per Serving (O+P)/J]]*Table14[[#This Row],[Estimated Servings Annual]]</f>
        <v>#DIV/0!</v>
      </c>
      <c r="V34" s="73">
        <f>(Table14[[#This Row],[Commercial Bid Price per case for NOI ($)]]-Table14[[#This Row],[Pass-Thru Value per case ($)]])+Table14[[#This Row],[Region 2: Fixed Fee Per Case ($)]]</f>
        <v>0</v>
      </c>
      <c r="W34" s="74" t="e">
        <f>(Table14[[#This Row],[Commercial Bid Price per case for NOI ($)]]+Table14[[#This Row],[Region 2: Fixed Fee Per Case ($)]])/Table14[[#This Row],['# of CN Servings per case]]</f>
        <v>#DIV/0!</v>
      </c>
      <c r="X34" s="75" t="e">
        <f>Table14[[#This Row],[Total Cost Per Serving (O+Q)/J]]*Table14[[#This Row],[Estimated Servings Annual]]</f>
        <v>#DIV/0!</v>
      </c>
    </row>
    <row r="35" spans="1:24" x14ac:dyDescent="0.35">
      <c r="A35" s="30" t="s">
        <v>27</v>
      </c>
      <c r="B35" s="11" t="s">
        <v>46</v>
      </c>
      <c r="C35" s="6" t="s">
        <v>64</v>
      </c>
      <c r="D35" s="6"/>
      <c r="E35" s="6"/>
      <c r="F35" s="6"/>
      <c r="G35" s="6"/>
      <c r="H35" s="6"/>
      <c r="I35" s="6"/>
      <c r="J35" s="6"/>
      <c r="K35" s="48">
        <v>100000</v>
      </c>
      <c r="L35" s="6"/>
      <c r="M35" s="6"/>
      <c r="N35" s="6"/>
      <c r="O35" s="6"/>
      <c r="P35" s="6"/>
      <c r="Q35" s="6"/>
      <c r="R35" s="6"/>
      <c r="S35" s="67">
        <f>(Table14[[#This Row],[Commercial Bid Price per case for NOI ($)]]-Table14[[#This Row],[Pass-Thru Value per case ($)]])+Table14[[#This Row],[Region 1: Fixed Fee Per Case ($)]]</f>
        <v>0</v>
      </c>
      <c r="T35" s="76" t="e">
        <f>(Table14[[#This Row],[Commercial Bid Price per case for NOI ($)]]+Table14[[#This Row],[Region 1: Fixed Fee Per Case ($)]])/Table14[[#This Row],['# of CN Servings per case]]</f>
        <v>#DIV/0!</v>
      </c>
      <c r="U35" s="68" t="e">
        <f>Table14[[#This Row],[Total Cost Per Serving (O+P)/J]]*Table14[[#This Row],[Estimated Servings Annual]]</f>
        <v>#DIV/0!</v>
      </c>
      <c r="V35" s="67">
        <f>(Table14[[#This Row],[Commercial Bid Price per case for NOI ($)]]-Table14[[#This Row],[Pass-Thru Value per case ($)]])+Table14[[#This Row],[Region 2: Fixed Fee Per Case ($)]]</f>
        <v>0</v>
      </c>
      <c r="W35" s="76" t="e">
        <f>(Table14[[#This Row],[Commercial Bid Price per case for NOI ($)]]+Table14[[#This Row],[Region 2: Fixed Fee Per Case ($)]])/Table14[[#This Row],['# of CN Servings per case]]</f>
        <v>#DIV/0!</v>
      </c>
      <c r="X35" s="69" t="e">
        <f>Table14[[#This Row],[Total Cost Per Serving (O+Q)/J]]*Table14[[#This Row],[Estimated Servings Annual]]</f>
        <v>#DIV/0!</v>
      </c>
    </row>
    <row r="36" spans="1:24" x14ac:dyDescent="0.35">
      <c r="A36" s="30" t="s">
        <v>27</v>
      </c>
      <c r="B36" s="12" t="s">
        <v>46</v>
      </c>
      <c r="C36" s="7" t="s">
        <v>64</v>
      </c>
      <c r="D36" s="7"/>
      <c r="E36" s="7"/>
      <c r="F36" s="7"/>
      <c r="G36" s="7"/>
      <c r="H36" s="7"/>
      <c r="I36" s="7"/>
      <c r="J36" s="7"/>
      <c r="K36" s="49">
        <v>100000</v>
      </c>
      <c r="L36" s="7"/>
      <c r="M36" s="7"/>
      <c r="N36" s="7"/>
      <c r="O36" s="7"/>
      <c r="P36" s="7"/>
      <c r="Q36" s="7"/>
      <c r="R36" s="7"/>
      <c r="S36" s="70">
        <f>(Table14[[#This Row],[Commercial Bid Price per case for NOI ($)]]-Table14[[#This Row],[Pass-Thru Value per case ($)]])+Table14[[#This Row],[Region 1: Fixed Fee Per Case ($)]]</f>
        <v>0</v>
      </c>
      <c r="T36" s="77" t="e">
        <f>(Table14[[#This Row],[Commercial Bid Price per case for NOI ($)]]+Table14[[#This Row],[Region 1: Fixed Fee Per Case ($)]])/Table14[[#This Row],['# of CN Servings per case]]</f>
        <v>#DIV/0!</v>
      </c>
      <c r="U36" s="71" t="e">
        <f>Table14[[#This Row],[Total Cost Per Serving (O+P)/J]]*Table14[[#This Row],[Estimated Servings Annual]]</f>
        <v>#DIV/0!</v>
      </c>
      <c r="V36" s="70">
        <f>(Table14[[#This Row],[Commercial Bid Price per case for NOI ($)]]-Table14[[#This Row],[Pass-Thru Value per case ($)]])+Table14[[#This Row],[Region 2: Fixed Fee Per Case ($)]]</f>
        <v>0</v>
      </c>
      <c r="W36" s="77" t="e">
        <f>(Table14[[#This Row],[Commercial Bid Price per case for NOI ($)]]+Table14[[#This Row],[Region 2: Fixed Fee Per Case ($)]])/Table14[[#This Row],['# of CN Servings per case]]</f>
        <v>#DIV/0!</v>
      </c>
      <c r="X36" s="72" t="e">
        <f>Table14[[#This Row],[Total Cost Per Serving (O+Q)/J]]*Table14[[#This Row],[Estimated Servings Annual]]</f>
        <v>#DIV/0!</v>
      </c>
    </row>
    <row r="37" spans="1:24" x14ac:dyDescent="0.35">
      <c r="A37" s="30" t="s">
        <v>27</v>
      </c>
      <c r="B37" s="12" t="s">
        <v>46</v>
      </c>
      <c r="C37" s="7" t="s">
        <v>50</v>
      </c>
      <c r="D37" s="7"/>
      <c r="E37" s="7"/>
      <c r="F37" s="7"/>
      <c r="G37" s="7"/>
      <c r="H37" s="7"/>
      <c r="I37" s="7"/>
      <c r="J37" s="7"/>
      <c r="K37" s="49">
        <v>100000</v>
      </c>
      <c r="L37" s="7"/>
      <c r="M37" s="7"/>
      <c r="N37" s="7"/>
      <c r="O37" s="7"/>
      <c r="P37" s="7"/>
      <c r="Q37" s="7"/>
      <c r="R37" s="7"/>
      <c r="S37" s="70">
        <f>(Table14[[#This Row],[Commercial Bid Price per case for NOI ($)]]-Table14[[#This Row],[Pass-Thru Value per case ($)]])+Table14[[#This Row],[Region 1: Fixed Fee Per Case ($)]]</f>
        <v>0</v>
      </c>
      <c r="T37" s="77" t="e">
        <f>(Table14[[#This Row],[Commercial Bid Price per case for NOI ($)]]+Table14[[#This Row],[Region 1: Fixed Fee Per Case ($)]])/Table14[[#This Row],['# of CN Servings per case]]</f>
        <v>#DIV/0!</v>
      </c>
      <c r="U37" s="71" t="e">
        <f>Table14[[#This Row],[Total Cost Per Serving (O+P)/J]]*Table14[[#This Row],[Estimated Servings Annual]]</f>
        <v>#DIV/0!</v>
      </c>
      <c r="V37" s="70">
        <f>(Table14[[#This Row],[Commercial Bid Price per case for NOI ($)]]-Table14[[#This Row],[Pass-Thru Value per case ($)]])+Table14[[#This Row],[Region 2: Fixed Fee Per Case ($)]]</f>
        <v>0</v>
      </c>
      <c r="W37" s="77" t="e">
        <f>(Table14[[#This Row],[Commercial Bid Price per case for NOI ($)]]+Table14[[#This Row],[Region 2: Fixed Fee Per Case ($)]])/Table14[[#This Row],['# of CN Servings per case]]</f>
        <v>#DIV/0!</v>
      </c>
      <c r="X37" s="72" t="e">
        <f>Table14[[#This Row],[Total Cost Per Serving (O+Q)/J]]*Table14[[#This Row],[Estimated Servings Annual]]</f>
        <v>#DIV/0!</v>
      </c>
    </row>
    <row r="38" spans="1:24" x14ac:dyDescent="0.35">
      <c r="A38" s="30" t="s">
        <v>27</v>
      </c>
      <c r="B38" s="12" t="s">
        <v>46</v>
      </c>
      <c r="C38" s="7" t="s">
        <v>50</v>
      </c>
      <c r="D38" s="7"/>
      <c r="E38" s="7"/>
      <c r="F38" s="7"/>
      <c r="G38" s="7"/>
      <c r="H38" s="7"/>
      <c r="I38" s="7"/>
      <c r="J38" s="7"/>
      <c r="K38" s="49">
        <v>100000</v>
      </c>
      <c r="L38" s="7"/>
      <c r="M38" s="7"/>
      <c r="N38" s="7"/>
      <c r="O38" s="7"/>
      <c r="P38" s="7"/>
      <c r="Q38" s="7"/>
      <c r="R38" s="7"/>
      <c r="S38" s="70">
        <f>(Table14[[#This Row],[Commercial Bid Price per case for NOI ($)]]-Table14[[#This Row],[Pass-Thru Value per case ($)]])+Table14[[#This Row],[Region 1: Fixed Fee Per Case ($)]]</f>
        <v>0</v>
      </c>
      <c r="T38" s="77" t="e">
        <f>(Table14[[#This Row],[Commercial Bid Price per case for NOI ($)]]+Table14[[#This Row],[Region 1: Fixed Fee Per Case ($)]])/Table14[[#This Row],['# of CN Servings per case]]</f>
        <v>#DIV/0!</v>
      </c>
      <c r="U38" s="71" t="e">
        <f>Table14[[#This Row],[Total Cost Per Serving (O+P)/J]]*Table14[[#This Row],[Estimated Servings Annual]]</f>
        <v>#DIV/0!</v>
      </c>
      <c r="V38" s="70">
        <f>(Table14[[#This Row],[Commercial Bid Price per case for NOI ($)]]-Table14[[#This Row],[Pass-Thru Value per case ($)]])+Table14[[#This Row],[Region 2: Fixed Fee Per Case ($)]]</f>
        <v>0</v>
      </c>
      <c r="W38" s="77" t="e">
        <f>(Table14[[#This Row],[Commercial Bid Price per case for NOI ($)]]+Table14[[#This Row],[Region 2: Fixed Fee Per Case ($)]])/Table14[[#This Row],['# of CN Servings per case]]</f>
        <v>#DIV/0!</v>
      </c>
      <c r="X38" s="72" t="e">
        <f>Table14[[#This Row],[Total Cost Per Serving (O+Q)/J]]*Table14[[#This Row],[Estimated Servings Annual]]</f>
        <v>#DIV/0!</v>
      </c>
    </row>
    <row r="39" spans="1:24" x14ac:dyDescent="0.35">
      <c r="A39" s="30" t="s">
        <v>27</v>
      </c>
      <c r="B39" s="12" t="s">
        <v>46</v>
      </c>
      <c r="C39" s="7" t="s">
        <v>13</v>
      </c>
      <c r="D39" s="7"/>
      <c r="E39" s="7"/>
      <c r="F39" s="7"/>
      <c r="G39" s="7"/>
      <c r="H39" s="7"/>
      <c r="I39" s="7"/>
      <c r="J39" s="7"/>
      <c r="K39" s="49">
        <v>100000</v>
      </c>
      <c r="L39" s="7"/>
      <c r="M39" s="7"/>
      <c r="N39" s="7"/>
      <c r="O39" s="7"/>
      <c r="P39" s="7"/>
      <c r="Q39" s="7"/>
      <c r="R39" s="7"/>
      <c r="S39" s="70">
        <f>(Table14[[#This Row],[Commercial Bid Price per case for NOI ($)]]-Table14[[#This Row],[Pass-Thru Value per case ($)]])+Table14[[#This Row],[Region 1: Fixed Fee Per Case ($)]]</f>
        <v>0</v>
      </c>
      <c r="T39" s="77" t="e">
        <f>(Table14[[#This Row],[Commercial Bid Price per case for NOI ($)]]+Table14[[#This Row],[Region 1: Fixed Fee Per Case ($)]])/Table14[[#This Row],['# of CN Servings per case]]</f>
        <v>#DIV/0!</v>
      </c>
      <c r="U39" s="71" t="e">
        <f>Table14[[#This Row],[Total Cost Per Serving (O+P)/J]]*Table14[[#This Row],[Estimated Servings Annual]]</f>
        <v>#DIV/0!</v>
      </c>
      <c r="V39" s="70">
        <f>(Table14[[#This Row],[Commercial Bid Price per case for NOI ($)]]-Table14[[#This Row],[Pass-Thru Value per case ($)]])+Table14[[#This Row],[Region 2: Fixed Fee Per Case ($)]]</f>
        <v>0</v>
      </c>
      <c r="W39" s="77" t="e">
        <f>(Table14[[#This Row],[Commercial Bid Price per case for NOI ($)]]+Table14[[#This Row],[Region 2: Fixed Fee Per Case ($)]])/Table14[[#This Row],['# of CN Servings per case]]</f>
        <v>#DIV/0!</v>
      </c>
      <c r="X39" s="72" t="e">
        <f>Table14[[#This Row],[Total Cost Per Serving (O+Q)/J]]*Table14[[#This Row],[Estimated Servings Annual]]</f>
        <v>#DIV/0!</v>
      </c>
    </row>
    <row r="40" spans="1:24" x14ac:dyDescent="0.35">
      <c r="A40" s="30" t="s">
        <v>27</v>
      </c>
      <c r="B40" s="12" t="s">
        <v>46</v>
      </c>
      <c r="C40" s="7" t="s">
        <v>13</v>
      </c>
      <c r="D40" s="7"/>
      <c r="E40" s="7"/>
      <c r="F40" s="7"/>
      <c r="G40" s="7"/>
      <c r="H40" s="7"/>
      <c r="I40" s="7"/>
      <c r="J40" s="7"/>
      <c r="K40" s="49">
        <v>100000</v>
      </c>
      <c r="L40" s="7"/>
      <c r="M40" s="7"/>
      <c r="N40" s="7"/>
      <c r="O40" s="7"/>
      <c r="P40" s="7"/>
      <c r="Q40" s="7"/>
      <c r="R40" s="7"/>
      <c r="S40" s="70">
        <f>(Table14[[#This Row],[Commercial Bid Price per case for NOI ($)]]-Table14[[#This Row],[Pass-Thru Value per case ($)]])+Table14[[#This Row],[Region 1: Fixed Fee Per Case ($)]]</f>
        <v>0</v>
      </c>
      <c r="T40" s="77" t="e">
        <f>(Table14[[#This Row],[Commercial Bid Price per case for NOI ($)]]+Table14[[#This Row],[Region 1: Fixed Fee Per Case ($)]])/Table14[[#This Row],['# of CN Servings per case]]</f>
        <v>#DIV/0!</v>
      </c>
      <c r="U40" s="71" t="e">
        <f>Table14[[#This Row],[Total Cost Per Serving (O+P)/J]]*Table14[[#This Row],[Estimated Servings Annual]]</f>
        <v>#DIV/0!</v>
      </c>
      <c r="V40" s="70">
        <f>(Table14[[#This Row],[Commercial Bid Price per case for NOI ($)]]-Table14[[#This Row],[Pass-Thru Value per case ($)]])+Table14[[#This Row],[Region 2: Fixed Fee Per Case ($)]]</f>
        <v>0</v>
      </c>
      <c r="W40" s="77" t="e">
        <f>(Table14[[#This Row],[Commercial Bid Price per case for NOI ($)]]+Table14[[#This Row],[Region 2: Fixed Fee Per Case ($)]])/Table14[[#This Row],['# of CN Servings per case]]</f>
        <v>#DIV/0!</v>
      </c>
      <c r="X40" s="72" t="e">
        <f>Table14[[#This Row],[Total Cost Per Serving (O+Q)/J]]*Table14[[#This Row],[Estimated Servings Annual]]</f>
        <v>#DIV/0!</v>
      </c>
    </row>
    <row r="41" spans="1:24" x14ac:dyDescent="0.35">
      <c r="A41" s="30" t="s">
        <v>27</v>
      </c>
      <c r="B41" s="12" t="s">
        <v>46</v>
      </c>
      <c r="C41" s="7" t="s">
        <v>13</v>
      </c>
      <c r="D41" s="7"/>
      <c r="E41" s="7"/>
      <c r="F41" s="7"/>
      <c r="G41" s="7"/>
      <c r="H41" s="7"/>
      <c r="I41" s="7"/>
      <c r="J41" s="7"/>
      <c r="K41" s="49">
        <v>100000</v>
      </c>
      <c r="L41" s="7"/>
      <c r="M41" s="7"/>
      <c r="N41" s="7"/>
      <c r="O41" s="7"/>
      <c r="P41" s="7"/>
      <c r="Q41" s="7"/>
      <c r="R41" s="7"/>
      <c r="S41" s="70">
        <f>(Table14[[#This Row],[Commercial Bid Price per case for NOI ($)]]-Table14[[#This Row],[Pass-Thru Value per case ($)]])+Table14[[#This Row],[Region 1: Fixed Fee Per Case ($)]]</f>
        <v>0</v>
      </c>
      <c r="T41" s="77" t="e">
        <f>(Table14[[#This Row],[Commercial Bid Price per case for NOI ($)]]+Table14[[#This Row],[Region 1: Fixed Fee Per Case ($)]])/Table14[[#This Row],['# of CN Servings per case]]</f>
        <v>#DIV/0!</v>
      </c>
      <c r="U41" s="71" t="e">
        <f>Table14[[#This Row],[Total Cost Per Serving (O+P)/J]]*Table14[[#This Row],[Estimated Servings Annual]]</f>
        <v>#DIV/0!</v>
      </c>
      <c r="V41" s="70">
        <f>(Table14[[#This Row],[Commercial Bid Price per case for NOI ($)]]-Table14[[#This Row],[Pass-Thru Value per case ($)]])+Table14[[#This Row],[Region 2: Fixed Fee Per Case ($)]]</f>
        <v>0</v>
      </c>
      <c r="W41" s="77" t="e">
        <f>(Table14[[#This Row],[Commercial Bid Price per case for NOI ($)]]+Table14[[#This Row],[Region 2: Fixed Fee Per Case ($)]])/Table14[[#This Row],['# of CN Servings per case]]</f>
        <v>#DIV/0!</v>
      </c>
      <c r="X41" s="72" t="e">
        <f>Table14[[#This Row],[Total Cost Per Serving (O+Q)/J]]*Table14[[#This Row],[Estimated Servings Annual]]</f>
        <v>#DIV/0!</v>
      </c>
    </row>
    <row r="42" spans="1:24" ht="15" thickBot="1" x14ac:dyDescent="0.4">
      <c r="A42" s="30" t="s">
        <v>27</v>
      </c>
      <c r="B42" s="13" t="s">
        <v>46</v>
      </c>
      <c r="C42" s="8" t="s">
        <v>13</v>
      </c>
      <c r="D42" s="8"/>
      <c r="E42" s="8"/>
      <c r="F42" s="8"/>
      <c r="G42" s="8"/>
      <c r="H42" s="8"/>
      <c r="I42" s="8"/>
      <c r="J42" s="8"/>
      <c r="K42" s="50">
        <v>100000</v>
      </c>
      <c r="L42" s="8"/>
      <c r="M42" s="8"/>
      <c r="N42" s="8"/>
      <c r="O42" s="8"/>
      <c r="P42" s="8"/>
      <c r="Q42" s="8"/>
      <c r="R42" s="8"/>
      <c r="S42" s="73">
        <f>(Table14[[#This Row],[Commercial Bid Price per case for NOI ($)]]-Table14[[#This Row],[Pass-Thru Value per case ($)]])+Table14[[#This Row],[Region 1: Fixed Fee Per Case ($)]]</f>
        <v>0</v>
      </c>
      <c r="T42" s="78" t="e">
        <f>(Table14[[#This Row],[Commercial Bid Price per case for NOI ($)]]+Table14[[#This Row],[Region 1: Fixed Fee Per Case ($)]])/Table14[[#This Row],['# of CN Servings per case]]</f>
        <v>#DIV/0!</v>
      </c>
      <c r="U42" s="74" t="e">
        <f>Table14[[#This Row],[Total Cost Per Serving (O+P)/J]]*Table14[[#This Row],[Estimated Servings Annual]]</f>
        <v>#DIV/0!</v>
      </c>
      <c r="V42" s="73">
        <f>(Table14[[#This Row],[Commercial Bid Price per case for NOI ($)]]-Table14[[#This Row],[Pass-Thru Value per case ($)]])+Table14[[#This Row],[Region 2: Fixed Fee Per Case ($)]]</f>
        <v>0</v>
      </c>
      <c r="W42" s="78" t="e">
        <f>(Table14[[#This Row],[Commercial Bid Price per case for NOI ($)]]+Table14[[#This Row],[Region 2: Fixed Fee Per Case ($)]])/Table14[[#This Row],['# of CN Servings per case]]</f>
        <v>#DIV/0!</v>
      </c>
      <c r="X42" s="75" t="e">
        <f>Table14[[#This Row],[Total Cost Per Serving (O+Q)/J]]*Table14[[#This Row],[Estimated Servings Annual]]</f>
        <v>#DIV/0!</v>
      </c>
    </row>
    <row r="43" spans="1:24" x14ac:dyDescent="0.35">
      <c r="A43" s="30" t="s">
        <v>27</v>
      </c>
      <c r="B43" s="11" t="s">
        <v>47</v>
      </c>
      <c r="C43" s="6" t="s">
        <v>64</v>
      </c>
      <c r="D43" s="6"/>
      <c r="E43" s="6"/>
      <c r="F43" s="6"/>
      <c r="G43" s="6"/>
      <c r="H43" s="6"/>
      <c r="I43" s="6"/>
      <c r="J43" s="6"/>
      <c r="K43" s="48">
        <v>225000</v>
      </c>
      <c r="L43" s="6"/>
      <c r="M43" s="6"/>
      <c r="N43" s="6"/>
      <c r="O43" s="6"/>
      <c r="P43" s="6"/>
      <c r="Q43" s="6"/>
      <c r="R43" s="6"/>
      <c r="S43" s="67">
        <f>(Table14[[#This Row],[Commercial Bid Price per case for NOI ($)]]-Table14[[#This Row],[Pass-Thru Value per case ($)]])+Table14[[#This Row],[Region 1: Fixed Fee Per Case ($)]]</f>
        <v>0</v>
      </c>
      <c r="T43" s="76" t="e">
        <f>(Table14[[#This Row],[Commercial Bid Price per case for NOI ($)]]+Table14[[#This Row],[Region 1: Fixed Fee Per Case ($)]])/Table14[[#This Row],['# of CN Servings per case]]</f>
        <v>#DIV/0!</v>
      </c>
      <c r="U43" s="68" t="e">
        <f>Table14[[#This Row],[Total Cost Per Serving (O+P)/J]]*Table14[[#This Row],[Estimated Servings Annual]]</f>
        <v>#DIV/0!</v>
      </c>
      <c r="V43" s="67">
        <f>(Table14[[#This Row],[Commercial Bid Price per case for NOI ($)]]-Table14[[#This Row],[Pass-Thru Value per case ($)]])+Table14[[#This Row],[Region 2: Fixed Fee Per Case ($)]]</f>
        <v>0</v>
      </c>
      <c r="W43" s="76" t="e">
        <f>(Table14[[#This Row],[Commercial Bid Price per case for NOI ($)]]+Table14[[#This Row],[Region 2: Fixed Fee Per Case ($)]])/Table14[[#This Row],['# of CN Servings per case]]</f>
        <v>#DIV/0!</v>
      </c>
      <c r="X43" s="69" t="e">
        <f>Table14[[#This Row],[Total Cost Per Serving (O+Q)/J]]*Table14[[#This Row],[Estimated Servings Annual]]</f>
        <v>#DIV/0!</v>
      </c>
    </row>
    <row r="44" spans="1:24" x14ac:dyDescent="0.35">
      <c r="A44" s="30" t="s">
        <v>27</v>
      </c>
      <c r="B44" s="12" t="s">
        <v>47</v>
      </c>
      <c r="C44" s="7" t="s">
        <v>64</v>
      </c>
      <c r="D44" s="7"/>
      <c r="E44" s="7"/>
      <c r="F44" s="7"/>
      <c r="G44" s="7"/>
      <c r="H44" s="7"/>
      <c r="I44" s="7"/>
      <c r="J44" s="7"/>
      <c r="K44" s="49">
        <v>225000</v>
      </c>
      <c r="L44" s="7"/>
      <c r="M44" s="7"/>
      <c r="N44" s="7"/>
      <c r="O44" s="7"/>
      <c r="P44" s="7"/>
      <c r="Q44" s="7"/>
      <c r="R44" s="7"/>
      <c r="S44" s="70">
        <f>(Table14[[#This Row],[Commercial Bid Price per case for NOI ($)]]-Table14[[#This Row],[Pass-Thru Value per case ($)]])+Table14[[#This Row],[Region 1: Fixed Fee Per Case ($)]]</f>
        <v>0</v>
      </c>
      <c r="T44" s="77" t="e">
        <f>(Table14[[#This Row],[Commercial Bid Price per case for NOI ($)]]+Table14[[#This Row],[Region 1: Fixed Fee Per Case ($)]])/Table14[[#This Row],['# of CN Servings per case]]</f>
        <v>#DIV/0!</v>
      </c>
      <c r="U44" s="71" t="e">
        <f>Table14[[#This Row],[Total Cost Per Serving (O+P)/J]]*Table14[[#This Row],[Estimated Servings Annual]]</f>
        <v>#DIV/0!</v>
      </c>
      <c r="V44" s="70">
        <f>(Table14[[#This Row],[Commercial Bid Price per case for NOI ($)]]-Table14[[#This Row],[Pass-Thru Value per case ($)]])+Table14[[#This Row],[Region 2: Fixed Fee Per Case ($)]]</f>
        <v>0</v>
      </c>
      <c r="W44" s="77" t="e">
        <f>(Table14[[#This Row],[Commercial Bid Price per case for NOI ($)]]+Table14[[#This Row],[Region 2: Fixed Fee Per Case ($)]])/Table14[[#This Row],['# of CN Servings per case]]</f>
        <v>#DIV/0!</v>
      </c>
      <c r="X44" s="72" t="e">
        <f>Table14[[#This Row],[Total Cost Per Serving (O+Q)/J]]*Table14[[#This Row],[Estimated Servings Annual]]</f>
        <v>#DIV/0!</v>
      </c>
    </row>
    <row r="45" spans="1:24" x14ac:dyDescent="0.35">
      <c r="A45" s="30" t="s">
        <v>27</v>
      </c>
      <c r="B45" s="12" t="s">
        <v>47</v>
      </c>
      <c r="C45" s="7" t="s">
        <v>50</v>
      </c>
      <c r="D45" s="7"/>
      <c r="E45" s="7"/>
      <c r="F45" s="7"/>
      <c r="G45" s="7"/>
      <c r="H45" s="7"/>
      <c r="I45" s="7"/>
      <c r="J45" s="7"/>
      <c r="K45" s="49">
        <v>225000</v>
      </c>
      <c r="L45" s="7"/>
      <c r="M45" s="7"/>
      <c r="N45" s="7"/>
      <c r="O45" s="7"/>
      <c r="P45" s="7"/>
      <c r="Q45" s="7"/>
      <c r="R45" s="7"/>
      <c r="S45" s="70">
        <f>(Table14[[#This Row],[Commercial Bid Price per case for NOI ($)]]-Table14[[#This Row],[Pass-Thru Value per case ($)]])+Table14[[#This Row],[Region 1: Fixed Fee Per Case ($)]]</f>
        <v>0</v>
      </c>
      <c r="T45" s="77" t="e">
        <f>(Table14[[#This Row],[Commercial Bid Price per case for NOI ($)]]+Table14[[#This Row],[Region 1: Fixed Fee Per Case ($)]])/Table14[[#This Row],['# of CN Servings per case]]</f>
        <v>#DIV/0!</v>
      </c>
      <c r="U45" s="71" t="e">
        <f>Table14[[#This Row],[Total Cost Per Serving (O+P)/J]]*Table14[[#This Row],[Estimated Servings Annual]]</f>
        <v>#DIV/0!</v>
      </c>
      <c r="V45" s="70">
        <f>(Table14[[#This Row],[Commercial Bid Price per case for NOI ($)]]-Table14[[#This Row],[Pass-Thru Value per case ($)]])+Table14[[#This Row],[Region 2: Fixed Fee Per Case ($)]]</f>
        <v>0</v>
      </c>
      <c r="W45" s="77" t="e">
        <f>(Table14[[#This Row],[Commercial Bid Price per case for NOI ($)]]+Table14[[#This Row],[Region 2: Fixed Fee Per Case ($)]])/Table14[[#This Row],['# of CN Servings per case]]</f>
        <v>#DIV/0!</v>
      </c>
      <c r="X45" s="72" t="e">
        <f>Table14[[#This Row],[Total Cost Per Serving (O+Q)/J]]*Table14[[#This Row],[Estimated Servings Annual]]</f>
        <v>#DIV/0!</v>
      </c>
    </row>
    <row r="46" spans="1:24" x14ac:dyDescent="0.35">
      <c r="A46" s="30" t="s">
        <v>27</v>
      </c>
      <c r="B46" s="12" t="s">
        <v>47</v>
      </c>
      <c r="C46" s="7" t="s">
        <v>50</v>
      </c>
      <c r="D46" s="7"/>
      <c r="E46" s="7"/>
      <c r="F46" s="7"/>
      <c r="G46" s="7"/>
      <c r="H46" s="7"/>
      <c r="I46" s="7"/>
      <c r="J46" s="7"/>
      <c r="K46" s="49">
        <v>225000</v>
      </c>
      <c r="L46" s="7"/>
      <c r="M46" s="7"/>
      <c r="N46" s="7"/>
      <c r="O46" s="7"/>
      <c r="P46" s="7"/>
      <c r="Q46" s="7"/>
      <c r="R46" s="7"/>
      <c r="S46" s="70">
        <f>(Table14[[#This Row],[Commercial Bid Price per case for NOI ($)]]-Table14[[#This Row],[Pass-Thru Value per case ($)]])+Table14[[#This Row],[Region 1: Fixed Fee Per Case ($)]]</f>
        <v>0</v>
      </c>
      <c r="T46" s="77" t="e">
        <f>(Table14[[#This Row],[Commercial Bid Price per case for NOI ($)]]+Table14[[#This Row],[Region 1: Fixed Fee Per Case ($)]])/Table14[[#This Row],['# of CN Servings per case]]</f>
        <v>#DIV/0!</v>
      </c>
      <c r="U46" s="71" t="e">
        <f>Table14[[#This Row],[Total Cost Per Serving (O+P)/J]]*Table14[[#This Row],[Estimated Servings Annual]]</f>
        <v>#DIV/0!</v>
      </c>
      <c r="V46" s="70">
        <f>(Table14[[#This Row],[Commercial Bid Price per case for NOI ($)]]-Table14[[#This Row],[Pass-Thru Value per case ($)]])+Table14[[#This Row],[Region 2: Fixed Fee Per Case ($)]]</f>
        <v>0</v>
      </c>
      <c r="W46" s="77" t="e">
        <f>(Table14[[#This Row],[Commercial Bid Price per case for NOI ($)]]+Table14[[#This Row],[Region 2: Fixed Fee Per Case ($)]])/Table14[[#This Row],['# of CN Servings per case]]</f>
        <v>#DIV/0!</v>
      </c>
      <c r="X46" s="72" t="e">
        <f>Table14[[#This Row],[Total Cost Per Serving (O+Q)/J]]*Table14[[#This Row],[Estimated Servings Annual]]</f>
        <v>#DIV/0!</v>
      </c>
    </row>
    <row r="47" spans="1:24" x14ac:dyDescent="0.35">
      <c r="A47" s="30" t="s">
        <v>27</v>
      </c>
      <c r="B47" s="12" t="s">
        <v>47</v>
      </c>
      <c r="C47" s="7"/>
      <c r="D47" s="7"/>
      <c r="E47" s="7"/>
      <c r="F47" s="7"/>
      <c r="G47" s="7"/>
      <c r="H47" s="7"/>
      <c r="I47" s="7"/>
      <c r="J47" s="7"/>
      <c r="K47" s="49">
        <v>225000</v>
      </c>
      <c r="L47" s="7"/>
      <c r="M47" s="7"/>
      <c r="N47" s="7"/>
      <c r="O47" s="7"/>
      <c r="P47" s="7"/>
      <c r="Q47" s="7"/>
      <c r="R47" s="7"/>
      <c r="S47" s="70">
        <f>(Table14[[#This Row],[Commercial Bid Price per case for NOI ($)]]-Table14[[#This Row],[Pass-Thru Value per case ($)]])+Table14[[#This Row],[Region 1: Fixed Fee Per Case ($)]]</f>
        <v>0</v>
      </c>
      <c r="T47" s="77" t="e">
        <f>(Table14[[#This Row],[Commercial Bid Price per case for NOI ($)]]+Table14[[#This Row],[Region 1: Fixed Fee Per Case ($)]])/Table14[[#This Row],['# of CN Servings per case]]</f>
        <v>#DIV/0!</v>
      </c>
      <c r="U47" s="71" t="e">
        <f>Table14[[#This Row],[Total Cost Per Serving (O+P)/J]]*Table14[[#This Row],[Estimated Servings Annual]]</f>
        <v>#DIV/0!</v>
      </c>
      <c r="V47" s="70">
        <f>(Table14[[#This Row],[Commercial Bid Price per case for NOI ($)]]-Table14[[#This Row],[Pass-Thru Value per case ($)]])+Table14[[#This Row],[Region 2: Fixed Fee Per Case ($)]]</f>
        <v>0</v>
      </c>
      <c r="W47" s="77" t="e">
        <f>(Table14[[#This Row],[Commercial Bid Price per case for NOI ($)]]+Table14[[#This Row],[Region 2: Fixed Fee Per Case ($)]])/Table14[[#This Row],['# of CN Servings per case]]</f>
        <v>#DIV/0!</v>
      </c>
      <c r="X47" s="72" t="e">
        <f>Table14[[#This Row],[Total Cost Per Serving (O+Q)/J]]*Table14[[#This Row],[Estimated Servings Annual]]</f>
        <v>#DIV/0!</v>
      </c>
    </row>
    <row r="48" spans="1:24" x14ac:dyDescent="0.35">
      <c r="A48" s="30" t="s">
        <v>27</v>
      </c>
      <c r="B48" s="12" t="s">
        <v>47</v>
      </c>
      <c r="C48" s="7"/>
      <c r="D48" s="7"/>
      <c r="E48" s="7"/>
      <c r="F48" s="7"/>
      <c r="G48" s="7"/>
      <c r="H48" s="7"/>
      <c r="I48" s="7"/>
      <c r="J48" s="7"/>
      <c r="K48" s="49">
        <v>225000</v>
      </c>
      <c r="L48" s="7"/>
      <c r="M48" s="7"/>
      <c r="N48" s="7"/>
      <c r="O48" s="7"/>
      <c r="P48" s="7"/>
      <c r="Q48" s="7"/>
      <c r="R48" s="7"/>
      <c r="S48" s="70">
        <f>(Table14[[#This Row],[Commercial Bid Price per case for NOI ($)]]-Table14[[#This Row],[Pass-Thru Value per case ($)]])+Table14[[#This Row],[Region 1: Fixed Fee Per Case ($)]]</f>
        <v>0</v>
      </c>
      <c r="T48" s="77" t="e">
        <f>(Table14[[#This Row],[Commercial Bid Price per case for NOI ($)]]+Table14[[#This Row],[Region 1: Fixed Fee Per Case ($)]])/Table14[[#This Row],['# of CN Servings per case]]</f>
        <v>#DIV/0!</v>
      </c>
      <c r="U48" s="71" t="e">
        <f>Table14[[#This Row],[Total Cost Per Serving (O+P)/J]]*Table14[[#This Row],[Estimated Servings Annual]]</f>
        <v>#DIV/0!</v>
      </c>
      <c r="V48" s="70">
        <f>(Table14[[#This Row],[Commercial Bid Price per case for NOI ($)]]-Table14[[#This Row],[Pass-Thru Value per case ($)]])+Table14[[#This Row],[Region 2: Fixed Fee Per Case ($)]]</f>
        <v>0</v>
      </c>
      <c r="W48" s="77" t="e">
        <f>(Table14[[#This Row],[Commercial Bid Price per case for NOI ($)]]+Table14[[#This Row],[Region 2: Fixed Fee Per Case ($)]])/Table14[[#This Row],['# of CN Servings per case]]</f>
        <v>#DIV/0!</v>
      </c>
      <c r="X48" s="72" t="e">
        <f>Table14[[#This Row],[Total Cost Per Serving (O+Q)/J]]*Table14[[#This Row],[Estimated Servings Annual]]</f>
        <v>#DIV/0!</v>
      </c>
    </row>
    <row r="49" spans="1:24" x14ac:dyDescent="0.35">
      <c r="A49" s="30" t="s">
        <v>27</v>
      </c>
      <c r="B49" s="12" t="s">
        <v>47</v>
      </c>
      <c r="C49" s="7"/>
      <c r="D49" s="7"/>
      <c r="E49" s="7"/>
      <c r="F49" s="7"/>
      <c r="G49" s="7"/>
      <c r="H49" s="7"/>
      <c r="I49" s="7"/>
      <c r="J49" s="7"/>
      <c r="K49" s="49">
        <v>225000</v>
      </c>
      <c r="L49" s="7"/>
      <c r="M49" s="7"/>
      <c r="N49" s="7"/>
      <c r="O49" s="7"/>
      <c r="P49" s="7"/>
      <c r="Q49" s="7"/>
      <c r="R49" s="7"/>
      <c r="S49" s="70">
        <f>(Table14[[#This Row],[Commercial Bid Price per case for NOI ($)]]-Table14[[#This Row],[Pass-Thru Value per case ($)]])+Table14[[#This Row],[Region 1: Fixed Fee Per Case ($)]]</f>
        <v>0</v>
      </c>
      <c r="T49" s="77" t="e">
        <f>(Table14[[#This Row],[Commercial Bid Price per case for NOI ($)]]+Table14[[#This Row],[Region 1: Fixed Fee Per Case ($)]])/Table14[[#This Row],['# of CN Servings per case]]</f>
        <v>#DIV/0!</v>
      </c>
      <c r="U49" s="71" t="e">
        <f>Table14[[#This Row],[Total Cost Per Serving (O+P)/J]]*Table14[[#This Row],[Estimated Servings Annual]]</f>
        <v>#DIV/0!</v>
      </c>
      <c r="V49" s="70">
        <f>(Table14[[#This Row],[Commercial Bid Price per case for NOI ($)]]-Table14[[#This Row],[Pass-Thru Value per case ($)]])+Table14[[#This Row],[Region 2: Fixed Fee Per Case ($)]]</f>
        <v>0</v>
      </c>
      <c r="W49" s="77" t="e">
        <f>(Table14[[#This Row],[Commercial Bid Price per case for NOI ($)]]+Table14[[#This Row],[Region 2: Fixed Fee Per Case ($)]])/Table14[[#This Row],['# of CN Servings per case]]</f>
        <v>#DIV/0!</v>
      </c>
      <c r="X49" s="72" t="e">
        <f>Table14[[#This Row],[Total Cost Per Serving (O+Q)/J]]*Table14[[#This Row],[Estimated Servings Annual]]</f>
        <v>#DIV/0!</v>
      </c>
    </row>
    <row r="50" spans="1:24" ht="15" thickBot="1" x14ac:dyDescent="0.4">
      <c r="A50" s="30" t="s">
        <v>27</v>
      </c>
      <c r="B50" s="13" t="s">
        <v>47</v>
      </c>
      <c r="C50" s="8"/>
      <c r="D50" s="8"/>
      <c r="E50" s="8"/>
      <c r="F50" s="8"/>
      <c r="G50" s="8"/>
      <c r="H50" s="8"/>
      <c r="I50" s="8"/>
      <c r="J50" s="8"/>
      <c r="K50" s="50">
        <v>225000</v>
      </c>
      <c r="L50" s="8"/>
      <c r="M50" s="8"/>
      <c r="N50" s="8"/>
      <c r="O50" s="8"/>
      <c r="P50" s="8"/>
      <c r="Q50" s="8"/>
      <c r="R50" s="8"/>
      <c r="S50" s="73">
        <f>(Table14[[#This Row],[Commercial Bid Price per case for NOI ($)]]-Table14[[#This Row],[Pass-Thru Value per case ($)]])+Table14[[#This Row],[Region 1: Fixed Fee Per Case ($)]]</f>
        <v>0</v>
      </c>
      <c r="T50" s="78" t="e">
        <f>(Table14[[#This Row],[Commercial Bid Price per case for NOI ($)]]+Table14[[#This Row],[Region 1: Fixed Fee Per Case ($)]])/Table14[[#This Row],['# of CN Servings per case]]</f>
        <v>#DIV/0!</v>
      </c>
      <c r="U50" s="74" t="e">
        <f>Table14[[#This Row],[Total Cost Per Serving (O+P)/J]]*Table14[[#This Row],[Estimated Servings Annual]]</f>
        <v>#DIV/0!</v>
      </c>
      <c r="V50" s="73">
        <f>(Table14[[#This Row],[Commercial Bid Price per case for NOI ($)]]-Table14[[#This Row],[Pass-Thru Value per case ($)]])+Table14[[#This Row],[Region 2: Fixed Fee Per Case ($)]]</f>
        <v>0</v>
      </c>
      <c r="W50" s="78" t="e">
        <f>(Table14[[#This Row],[Commercial Bid Price per case for NOI ($)]]+Table14[[#This Row],[Region 2: Fixed Fee Per Case ($)]])/Table14[[#This Row],['# of CN Servings per case]]</f>
        <v>#DIV/0!</v>
      </c>
      <c r="X50" s="75" t="e">
        <f>Table14[[#This Row],[Total Cost Per Serving (O+Q)/J]]*Table14[[#This Row],[Estimated Servings Annual]]</f>
        <v>#DIV/0!</v>
      </c>
    </row>
    <row r="51" spans="1:24" x14ac:dyDescent="0.35">
      <c r="A51" s="30" t="s">
        <v>27</v>
      </c>
      <c r="B51" s="11" t="s">
        <v>48</v>
      </c>
      <c r="C51" s="6" t="s">
        <v>64</v>
      </c>
      <c r="D51" s="6"/>
      <c r="E51" s="6"/>
      <c r="F51" s="6"/>
      <c r="G51" s="6"/>
      <c r="H51" s="6"/>
      <c r="I51" s="6"/>
      <c r="J51" s="6"/>
      <c r="K51" s="48">
        <v>90000</v>
      </c>
      <c r="L51" s="6"/>
      <c r="M51" s="6"/>
      <c r="N51" s="6"/>
      <c r="O51" s="6"/>
      <c r="P51" s="6"/>
      <c r="Q51" s="6"/>
      <c r="R51" s="6"/>
      <c r="S51" s="67">
        <f>(Table14[[#This Row],[Commercial Bid Price per case for NOI ($)]]-Table14[[#This Row],[Pass-Thru Value per case ($)]])+Table14[[#This Row],[Region 1: Fixed Fee Per Case ($)]]</f>
        <v>0</v>
      </c>
      <c r="T51" s="76" t="e">
        <f>(Table14[[#This Row],[Commercial Bid Price per case for NOI ($)]]+Table14[[#This Row],[Region 1: Fixed Fee Per Case ($)]])/Table14[[#This Row],['# of CN Servings per case]]</f>
        <v>#DIV/0!</v>
      </c>
      <c r="U51" s="68" t="e">
        <f>Table14[[#This Row],[Total Cost Per Serving (O+P)/J]]*Table14[[#This Row],[Estimated Servings Annual]]</f>
        <v>#DIV/0!</v>
      </c>
      <c r="V51" s="67">
        <f>(Table14[[#This Row],[Commercial Bid Price per case for NOI ($)]]-Table14[[#This Row],[Pass-Thru Value per case ($)]])+Table14[[#This Row],[Region 2: Fixed Fee Per Case ($)]]</f>
        <v>0</v>
      </c>
      <c r="W51" s="76" t="e">
        <f>(Table14[[#This Row],[Commercial Bid Price per case for NOI ($)]]+Table14[[#This Row],[Region 2: Fixed Fee Per Case ($)]])/Table14[[#This Row],['# of CN Servings per case]]</f>
        <v>#DIV/0!</v>
      </c>
      <c r="X51" s="69" t="e">
        <f>Table14[[#This Row],[Total Cost Per Serving (O+Q)/J]]*Table14[[#This Row],[Estimated Servings Annual]]</f>
        <v>#DIV/0!</v>
      </c>
    </row>
    <row r="52" spans="1:24" x14ac:dyDescent="0.35">
      <c r="A52" s="30" t="s">
        <v>27</v>
      </c>
      <c r="B52" s="12" t="s">
        <v>48</v>
      </c>
      <c r="C52" s="7" t="s">
        <v>64</v>
      </c>
      <c r="D52" s="7"/>
      <c r="E52" s="7"/>
      <c r="F52" s="7"/>
      <c r="G52" s="7"/>
      <c r="H52" s="7"/>
      <c r="I52" s="7"/>
      <c r="J52" s="7"/>
      <c r="K52" s="49">
        <v>90000</v>
      </c>
      <c r="L52" s="7"/>
      <c r="M52" s="7"/>
      <c r="N52" s="7"/>
      <c r="O52" s="7"/>
      <c r="P52" s="7"/>
      <c r="Q52" s="7"/>
      <c r="R52" s="7"/>
      <c r="S52" s="70">
        <f>(Table14[[#This Row],[Commercial Bid Price per case for NOI ($)]]-Table14[[#This Row],[Pass-Thru Value per case ($)]])+Table14[[#This Row],[Region 1: Fixed Fee Per Case ($)]]</f>
        <v>0</v>
      </c>
      <c r="T52" s="77" t="e">
        <f>(Table14[[#This Row],[Commercial Bid Price per case for NOI ($)]]+Table14[[#This Row],[Region 1: Fixed Fee Per Case ($)]])/Table14[[#This Row],['# of CN Servings per case]]</f>
        <v>#DIV/0!</v>
      </c>
      <c r="U52" s="71" t="e">
        <f>Table14[[#This Row],[Total Cost Per Serving (O+P)/J]]*Table14[[#This Row],[Estimated Servings Annual]]</f>
        <v>#DIV/0!</v>
      </c>
      <c r="V52" s="70">
        <f>(Table14[[#This Row],[Commercial Bid Price per case for NOI ($)]]-Table14[[#This Row],[Pass-Thru Value per case ($)]])+Table14[[#This Row],[Region 2: Fixed Fee Per Case ($)]]</f>
        <v>0</v>
      </c>
      <c r="W52" s="77" t="e">
        <f>(Table14[[#This Row],[Commercial Bid Price per case for NOI ($)]]+Table14[[#This Row],[Region 2: Fixed Fee Per Case ($)]])/Table14[[#This Row],['# of CN Servings per case]]</f>
        <v>#DIV/0!</v>
      </c>
      <c r="X52" s="72" t="e">
        <f>Table14[[#This Row],[Total Cost Per Serving (O+Q)/J]]*Table14[[#This Row],[Estimated Servings Annual]]</f>
        <v>#DIV/0!</v>
      </c>
    </row>
    <row r="53" spans="1:24" x14ac:dyDescent="0.35">
      <c r="A53" s="30" t="s">
        <v>27</v>
      </c>
      <c r="B53" s="12" t="s">
        <v>48</v>
      </c>
      <c r="C53" s="7" t="s">
        <v>50</v>
      </c>
      <c r="D53" s="7"/>
      <c r="E53" s="7"/>
      <c r="F53" s="7"/>
      <c r="G53" s="7"/>
      <c r="H53" s="7"/>
      <c r="I53" s="7"/>
      <c r="J53" s="7"/>
      <c r="K53" s="49">
        <v>90000</v>
      </c>
      <c r="L53" s="7"/>
      <c r="M53" s="7"/>
      <c r="N53" s="7"/>
      <c r="O53" s="7"/>
      <c r="P53" s="7"/>
      <c r="Q53" s="7"/>
      <c r="R53" s="7"/>
      <c r="S53" s="70">
        <f>(Table14[[#This Row],[Commercial Bid Price per case for NOI ($)]]-Table14[[#This Row],[Pass-Thru Value per case ($)]])+Table14[[#This Row],[Region 1: Fixed Fee Per Case ($)]]</f>
        <v>0</v>
      </c>
      <c r="T53" s="77" t="e">
        <f>(Table14[[#This Row],[Commercial Bid Price per case for NOI ($)]]+Table14[[#This Row],[Region 1: Fixed Fee Per Case ($)]])/Table14[[#This Row],['# of CN Servings per case]]</f>
        <v>#DIV/0!</v>
      </c>
      <c r="U53" s="71" t="e">
        <f>Table14[[#This Row],[Total Cost Per Serving (O+P)/J]]*Table14[[#This Row],[Estimated Servings Annual]]</f>
        <v>#DIV/0!</v>
      </c>
      <c r="V53" s="70">
        <f>(Table14[[#This Row],[Commercial Bid Price per case for NOI ($)]]-Table14[[#This Row],[Pass-Thru Value per case ($)]])+Table14[[#This Row],[Region 2: Fixed Fee Per Case ($)]]</f>
        <v>0</v>
      </c>
      <c r="W53" s="77" t="e">
        <f>(Table14[[#This Row],[Commercial Bid Price per case for NOI ($)]]+Table14[[#This Row],[Region 2: Fixed Fee Per Case ($)]])/Table14[[#This Row],['# of CN Servings per case]]</f>
        <v>#DIV/0!</v>
      </c>
      <c r="X53" s="72" t="e">
        <f>Table14[[#This Row],[Total Cost Per Serving (O+Q)/J]]*Table14[[#This Row],[Estimated Servings Annual]]</f>
        <v>#DIV/0!</v>
      </c>
    </row>
    <row r="54" spans="1:24" x14ac:dyDescent="0.35">
      <c r="A54" s="30" t="s">
        <v>27</v>
      </c>
      <c r="B54" s="12" t="s">
        <v>48</v>
      </c>
      <c r="C54" s="7" t="s">
        <v>50</v>
      </c>
      <c r="D54" s="7"/>
      <c r="E54" s="7"/>
      <c r="F54" s="7"/>
      <c r="G54" s="7"/>
      <c r="H54" s="7"/>
      <c r="I54" s="7"/>
      <c r="J54" s="7"/>
      <c r="K54" s="49">
        <v>90000</v>
      </c>
      <c r="L54" s="7"/>
      <c r="M54" s="7"/>
      <c r="N54" s="7"/>
      <c r="O54" s="7"/>
      <c r="P54" s="7"/>
      <c r="Q54" s="7"/>
      <c r="R54" s="7"/>
      <c r="S54" s="70">
        <f>(Table14[[#This Row],[Commercial Bid Price per case for NOI ($)]]-Table14[[#This Row],[Pass-Thru Value per case ($)]])+Table14[[#This Row],[Region 1: Fixed Fee Per Case ($)]]</f>
        <v>0</v>
      </c>
      <c r="T54" s="77" t="e">
        <f>(Table14[[#This Row],[Commercial Bid Price per case for NOI ($)]]+Table14[[#This Row],[Region 1: Fixed Fee Per Case ($)]])/Table14[[#This Row],['# of CN Servings per case]]</f>
        <v>#DIV/0!</v>
      </c>
      <c r="U54" s="71" t="e">
        <f>Table14[[#This Row],[Total Cost Per Serving (O+P)/J]]*Table14[[#This Row],[Estimated Servings Annual]]</f>
        <v>#DIV/0!</v>
      </c>
      <c r="V54" s="70">
        <f>(Table14[[#This Row],[Commercial Bid Price per case for NOI ($)]]-Table14[[#This Row],[Pass-Thru Value per case ($)]])+Table14[[#This Row],[Region 2: Fixed Fee Per Case ($)]]</f>
        <v>0</v>
      </c>
      <c r="W54" s="77" t="e">
        <f>(Table14[[#This Row],[Commercial Bid Price per case for NOI ($)]]+Table14[[#This Row],[Region 2: Fixed Fee Per Case ($)]])/Table14[[#This Row],['# of CN Servings per case]]</f>
        <v>#DIV/0!</v>
      </c>
      <c r="X54" s="72" t="e">
        <f>Table14[[#This Row],[Total Cost Per Serving (O+Q)/J]]*Table14[[#This Row],[Estimated Servings Annual]]</f>
        <v>#DIV/0!</v>
      </c>
    </row>
    <row r="55" spans="1:24" x14ac:dyDescent="0.35">
      <c r="A55" s="30" t="s">
        <v>27</v>
      </c>
      <c r="B55" s="12" t="s">
        <v>48</v>
      </c>
      <c r="C55" s="7" t="s">
        <v>13</v>
      </c>
      <c r="D55" s="7"/>
      <c r="E55" s="7"/>
      <c r="F55" s="7"/>
      <c r="G55" s="7"/>
      <c r="H55" s="7"/>
      <c r="I55" s="7"/>
      <c r="J55" s="7"/>
      <c r="K55" s="49">
        <v>90000</v>
      </c>
      <c r="L55" s="7"/>
      <c r="M55" s="7"/>
      <c r="N55" s="7"/>
      <c r="O55" s="7"/>
      <c r="P55" s="7"/>
      <c r="Q55" s="7"/>
      <c r="R55" s="7"/>
      <c r="S55" s="70">
        <f>(Table14[[#This Row],[Commercial Bid Price per case for NOI ($)]]-Table14[[#This Row],[Pass-Thru Value per case ($)]])+Table14[[#This Row],[Region 1: Fixed Fee Per Case ($)]]</f>
        <v>0</v>
      </c>
      <c r="T55" s="77" t="e">
        <f>(Table14[[#This Row],[Commercial Bid Price per case for NOI ($)]]+Table14[[#This Row],[Region 1: Fixed Fee Per Case ($)]])/Table14[[#This Row],['# of CN Servings per case]]</f>
        <v>#DIV/0!</v>
      </c>
      <c r="U55" s="71" t="e">
        <f>Table14[[#This Row],[Total Cost Per Serving (O+P)/J]]*Table14[[#This Row],[Estimated Servings Annual]]</f>
        <v>#DIV/0!</v>
      </c>
      <c r="V55" s="70">
        <f>(Table14[[#This Row],[Commercial Bid Price per case for NOI ($)]]-Table14[[#This Row],[Pass-Thru Value per case ($)]])+Table14[[#This Row],[Region 2: Fixed Fee Per Case ($)]]</f>
        <v>0</v>
      </c>
      <c r="W55" s="77" t="e">
        <f>(Table14[[#This Row],[Commercial Bid Price per case for NOI ($)]]+Table14[[#This Row],[Region 2: Fixed Fee Per Case ($)]])/Table14[[#This Row],['# of CN Servings per case]]</f>
        <v>#DIV/0!</v>
      </c>
      <c r="X55" s="72" t="e">
        <f>Table14[[#This Row],[Total Cost Per Serving (O+Q)/J]]*Table14[[#This Row],[Estimated Servings Annual]]</f>
        <v>#DIV/0!</v>
      </c>
    </row>
    <row r="56" spans="1:24" x14ac:dyDescent="0.35">
      <c r="A56" s="30" t="s">
        <v>27</v>
      </c>
      <c r="B56" s="12" t="s">
        <v>48</v>
      </c>
      <c r="C56" s="7" t="s">
        <v>13</v>
      </c>
      <c r="D56" s="7"/>
      <c r="E56" s="7"/>
      <c r="F56" s="7"/>
      <c r="G56" s="7"/>
      <c r="H56" s="7"/>
      <c r="I56" s="7"/>
      <c r="J56" s="7"/>
      <c r="K56" s="49">
        <v>90000</v>
      </c>
      <c r="L56" s="7"/>
      <c r="M56" s="7"/>
      <c r="N56" s="7"/>
      <c r="O56" s="7"/>
      <c r="P56" s="7"/>
      <c r="Q56" s="7"/>
      <c r="R56" s="7"/>
      <c r="S56" s="70">
        <f>(Table14[[#This Row],[Commercial Bid Price per case for NOI ($)]]-Table14[[#This Row],[Pass-Thru Value per case ($)]])+Table14[[#This Row],[Region 1: Fixed Fee Per Case ($)]]</f>
        <v>0</v>
      </c>
      <c r="T56" s="77" t="e">
        <f>(Table14[[#This Row],[Commercial Bid Price per case for NOI ($)]]+Table14[[#This Row],[Region 1: Fixed Fee Per Case ($)]])/Table14[[#This Row],['# of CN Servings per case]]</f>
        <v>#DIV/0!</v>
      </c>
      <c r="U56" s="71" t="e">
        <f>Table14[[#This Row],[Total Cost Per Serving (O+P)/J]]*Table14[[#This Row],[Estimated Servings Annual]]</f>
        <v>#DIV/0!</v>
      </c>
      <c r="V56" s="70">
        <f>(Table14[[#This Row],[Commercial Bid Price per case for NOI ($)]]-Table14[[#This Row],[Pass-Thru Value per case ($)]])+Table14[[#This Row],[Region 2: Fixed Fee Per Case ($)]]</f>
        <v>0</v>
      </c>
      <c r="W56" s="77" t="e">
        <f>(Table14[[#This Row],[Commercial Bid Price per case for NOI ($)]]+Table14[[#This Row],[Region 2: Fixed Fee Per Case ($)]])/Table14[[#This Row],['# of CN Servings per case]]</f>
        <v>#DIV/0!</v>
      </c>
      <c r="X56" s="72" t="e">
        <f>Table14[[#This Row],[Total Cost Per Serving (O+Q)/J]]*Table14[[#This Row],[Estimated Servings Annual]]</f>
        <v>#DIV/0!</v>
      </c>
    </row>
    <row r="57" spans="1:24" x14ac:dyDescent="0.35">
      <c r="A57" s="30" t="s">
        <v>27</v>
      </c>
      <c r="B57" s="12" t="s">
        <v>48</v>
      </c>
      <c r="C57" s="7" t="s">
        <v>13</v>
      </c>
      <c r="D57" s="7"/>
      <c r="E57" s="7"/>
      <c r="F57" s="7"/>
      <c r="G57" s="7"/>
      <c r="H57" s="7"/>
      <c r="I57" s="7"/>
      <c r="J57" s="7"/>
      <c r="K57" s="49">
        <v>90000</v>
      </c>
      <c r="L57" s="7"/>
      <c r="M57" s="7"/>
      <c r="N57" s="7"/>
      <c r="O57" s="7"/>
      <c r="P57" s="7"/>
      <c r="Q57" s="7"/>
      <c r="R57" s="7"/>
      <c r="S57" s="70">
        <f>(Table14[[#This Row],[Commercial Bid Price per case for NOI ($)]]-Table14[[#This Row],[Pass-Thru Value per case ($)]])+Table14[[#This Row],[Region 1: Fixed Fee Per Case ($)]]</f>
        <v>0</v>
      </c>
      <c r="T57" s="77" t="e">
        <f>(Table14[[#This Row],[Commercial Bid Price per case for NOI ($)]]+Table14[[#This Row],[Region 1: Fixed Fee Per Case ($)]])/Table14[[#This Row],['# of CN Servings per case]]</f>
        <v>#DIV/0!</v>
      </c>
      <c r="U57" s="71" t="e">
        <f>Table14[[#This Row],[Total Cost Per Serving (O+P)/J]]*Table14[[#This Row],[Estimated Servings Annual]]</f>
        <v>#DIV/0!</v>
      </c>
      <c r="V57" s="70">
        <f>(Table14[[#This Row],[Commercial Bid Price per case for NOI ($)]]-Table14[[#This Row],[Pass-Thru Value per case ($)]])+Table14[[#This Row],[Region 2: Fixed Fee Per Case ($)]]</f>
        <v>0</v>
      </c>
      <c r="W57" s="77" t="e">
        <f>(Table14[[#This Row],[Commercial Bid Price per case for NOI ($)]]+Table14[[#This Row],[Region 2: Fixed Fee Per Case ($)]])/Table14[[#This Row],['# of CN Servings per case]]</f>
        <v>#DIV/0!</v>
      </c>
      <c r="X57" s="72" t="e">
        <f>Table14[[#This Row],[Total Cost Per Serving (O+Q)/J]]*Table14[[#This Row],[Estimated Servings Annual]]</f>
        <v>#DIV/0!</v>
      </c>
    </row>
    <row r="58" spans="1:24" ht="15" thickBot="1" x14ac:dyDescent="0.4">
      <c r="A58" s="30" t="s">
        <v>27</v>
      </c>
      <c r="B58" s="13" t="s">
        <v>48</v>
      </c>
      <c r="C58" s="8" t="s">
        <v>13</v>
      </c>
      <c r="D58" s="8"/>
      <c r="E58" s="8"/>
      <c r="F58" s="8"/>
      <c r="G58" s="8"/>
      <c r="H58" s="8"/>
      <c r="I58" s="8"/>
      <c r="J58" s="8"/>
      <c r="K58" s="50">
        <v>90000</v>
      </c>
      <c r="L58" s="8"/>
      <c r="M58" s="8"/>
      <c r="N58" s="8"/>
      <c r="O58" s="8"/>
      <c r="P58" s="8"/>
      <c r="Q58" s="8"/>
      <c r="R58" s="8"/>
      <c r="S58" s="73">
        <f>(Table14[[#This Row],[Commercial Bid Price per case for NOI ($)]]-Table14[[#This Row],[Pass-Thru Value per case ($)]])+Table14[[#This Row],[Region 1: Fixed Fee Per Case ($)]]</f>
        <v>0</v>
      </c>
      <c r="T58" s="78" t="e">
        <f>(Table14[[#This Row],[Commercial Bid Price per case for NOI ($)]]+Table14[[#This Row],[Region 1: Fixed Fee Per Case ($)]])/Table14[[#This Row],['# of CN Servings per case]]</f>
        <v>#DIV/0!</v>
      </c>
      <c r="U58" s="74" t="e">
        <f>Table14[[#This Row],[Total Cost Per Serving (O+P)/J]]*Table14[[#This Row],[Estimated Servings Annual]]</f>
        <v>#DIV/0!</v>
      </c>
      <c r="V58" s="73">
        <f>(Table14[[#This Row],[Commercial Bid Price per case for NOI ($)]]-Table14[[#This Row],[Pass-Thru Value per case ($)]])+Table14[[#This Row],[Region 2: Fixed Fee Per Case ($)]]</f>
        <v>0</v>
      </c>
      <c r="W58" s="78" t="e">
        <f>(Table14[[#This Row],[Commercial Bid Price per case for NOI ($)]]+Table14[[#This Row],[Region 2: Fixed Fee Per Case ($)]])/Table14[[#This Row],['# of CN Servings per case]]</f>
        <v>#DIV/0!</v>
      </c>
      <c r="X58" s="75" t="e">
        <f>Table14[[#This Row],[Total Cost Per Serving (O+Q)/J]]*Table14[[#This Row],[Estimated Servings Annual]]</f>
        <v>#DIV/0!</v>
      </c>
    </row>
    <row r="59" spans="1:24" x14ac:dyDescent="0.35">
      <c r="A59" s="30" t="s">
        <v>27</v>
      </c>
      <c r="B59" s="11" t="s">
        <v>85</v>
      </c>
      <c r="C59" s="6" t="s">
        <v>64</v>
      </c>
      <c r="D59" s="6"/>
      <c r="E59" s="6"/>
      <c r="F59" s="6"/>
      <c r="G59" s="6"/>
      <c r="H59" s="6"/>
      <c r="I59" s="6"/>
      <c r="J59" s="6"/>
      <c r="K59" s="48">
        <v>150000</v>
      </c>
      <c r="L59" s="6"/>
      <c r="M59" s="6"/>
      <c r="N59" s="6"/>
      <c r="O59" s="6"/>
      <c r="P59" s="6"/>
      <c r="Q59" s="6"/>
      <c r="R59" s="6"/>
      <c r="S59" s="79">
        <f>(Table14[[#This Row],[Commercial Bid Price per case for NOI ($)]]-Table14[[#This Row],[Pass-Thru Value per case ($)]])+Table14[[#This Row],[Region 1: Fixed Fee Per Case ($)]]</f>
        <v>0</v>
      </c>
      <c r="T59" s="76" t="e">
        <f>(Table14[[#This Row],[Commercial Bid Price per case for NOI ($)]]+Table14[[#This Row],[Region 1: Fixed Fee Per Case ($)]])/Table14[[#This Row],['# of CN Servings per case]]</f>
        <v>#DIV/0!</v>
      </c>
      <c r="U59" s="76" t="e">
        <f>Table14[[#This Row],[Total Cost Per Serving (O+P)/J]]*Table14[[#This Row],[Estimated Servings Annual]]</f>
        <v>#DIV/0!</v>
      </c>
      <c r="V59" s="79">
        <f>(Table14[[#This Row],[Commercial Bid Price per case for NOI ($)]]-Table14[[#This Row],[Pass-Thru Value per case ($)]])+Table14[[#This Row],[Region 2: Fixed Fee Per Case ($)]]</f>
        <v>0</v>
      </c>
      <c r="W59" s="76" t="e">
        <f>(Table14[[#This Row],[Commercial Bid Price per case for NOI ($)]]+Table14[[#This Row],[Region 2: Fixed Fee Per Case ($)]])/Table14[[#This Row],['# of CN Servings per case]]</f>
        <v>#DIV/0!</v>
      </c>
      <c r="X59" s="80" t="e">
        <f>Table14[[#This Row],[Total Cost Per Serving (O+Q)/J]]*Table14[[#This Row],[Estimated Servings Annual]]</f>
        <v>#DIV/0!</v>
      </c>
    </row>
    <row r="60" spans="1:24" x14ac:dyDescent="0.35">
      <c r="A60" s="30" t="s">
        <v>27</v>
      </c>
      <c r="B60" s="12" t="s">
        <v>85</v>
      </c>
      <c r="C60" s="7" t="s">
        <v>64</v>
      </c>
      <c r="D60" s="7"/>
      <c r="E60" s="7"/>
      <c r="F60" s="7"/>
      <c r="G60" s="7"/>
      <c r="H60" s="7"/>
      <c r="I60" s="7"/>
      <c r="J60" s="7"/>
      <c r="K60" s="49">
        <v>150000</v>
      </c>
      <c r="L60" s="7"/>
      <c r="M60" s="7"/>
      <c r="N60" s="7"/>
      <c r="O60" s="7"/>
      <c r="P60" s="7"/>
      <c r="Q60" s="7"/>
      <c r="R60" s="7"/>
      <c r="S60" s="81">
        <f>(Table14[[#This Row],[Commercial Bid Price per case for NOI ($)]]-Table14[[#This Row],[Pass-Thru Value per case ($)]])+Table14[[#This Row],[Region 1: Fixed Fee Per Case ($)]]</f>
        <v>0</v>
      </c>
      <c r="T60" s="77" t="e">
        <f>(Table14[[#This Row],[Commercial Bid Price per case for NOI ($)]]+Table14[[#This Row],[Region 1: Fixed Fee Per Case ($)]])/Table14[[#This Row],['# of CN Servings per case]]</f>
        <v>#DIV/0!</v>
      </c>
      <c r="U60" s="77" t="e">
        <f>Table14[[#This Row],[Total Cost Per Serving (O+P)/J]]*Table14[[#This Row],[Estimated Servings Annual]]</f>
        <v>#DIV/0!</v>
      </c>
      <c r="V60" s="81">
        <f>(Table14[[#This Row],[Commercial Bid Price per case for NOI ($)]]-Table14[[#This Row],[Pass-Thru Value per case ($)]])+Table14[[#This Row],[Region 2: Fixed Fee Per Case ($)]]</f>
        <v>0</v>
      </c>
      <c r="W60" s="77" t="e">
        <f>(Table14[[#This Row],[Commercial Bid Price per case for NOI ($)]]+Table14[[#This Row],[Region 2: Fixed Fee Per Case ($)]])/Table14[[#This Row],['# of CN Servings per case]]</f>
        <v>#DIV/0!</v>
      </c>
      <c r="X60" s="82" t="e">
        <f>Table14[[#This Row],[Total Cost Per Serving (O+Q)/J]]*Table14[[#This Row],[Estimated Servings Annual]]</f>
        <v>#DIV/0!</v>
      </c>
    </row>
    <row r="61" spans="1:24" x14ac:dyDescent="0.35">
      <c r="A61" s="30" t="s">
        <v>27</v>
      </c>
      <c r="B61" s="12" t="s">
        <v>85</v>
      </c>
      <c r="C61" s="7" t="s">
        <v>50</v>
      </c>
      <c r="D61" s="7"/>
      <c r="E61" s="7"/>
      <c r="F61" s="7"/>
      <c r="G61" s="7"/>
      <c r="H61" s="7"/>
      <c r="I61" s="7"/>
      <c r="J61" s="7"/>
      <c r="K61" s="49">
        <v>150000</v>
      </c>
      <c r="L61" s="7"/>
      <c r="M61" s="7"/>
      <c r="N61" s="7"/>
      <c r="O61" s="7"/>
      <c r="P61" s="7"/>
      <c r="Q61" s="7"/>
      <c r="R61" s="7"/>
      <c r="S61" s="81">
        <f>(Table14[[#This Row],[Commercial Bid Price per case for NOI ($)]]-Table14[[#This Row],[Pass-Thru Value per case ($)]])+Table14[[#This Row],[Region 1: Fixed Fee Per Case ($)]]</f>
        <v>0</v>
      </c>
      <c r="T61" s="77" t="e">
        <f>(Table14[[#This Row],[Commercial Bid Price per case for NOI ($)]]+Table14[[#This Row],[Region 1: Fixed Fee Per Case ($)]])/Table14[[#This Row],['# of CN Servings per case]]</f>
        <v>#DIV/0!</v>
      </c>
      <c r="U61" s="77" t="e">
        <f>Table14[[#This Row],[Total Cost Per Serving (O+P)/J]]*Table14[[#This Row],[Estimated Servings Annual]]</f>
        <v>#DIV/0!</v>
      </c>
      <c r="V61" s="81">
        <f>(Table14[[#This Row],[Commercial Bid Price per case for NOI ($)]]-Table14[[#This Row],[Pass-Thru Value per case ($)]])+Table14[[#This Row],[Region 2: Fixed Fee Per Case ($)]]</f>
        <v>0</v>
      </c>
      <c r="W61" s="77" t="e">
        <f>(Table14[[#This Row],[Commercial Bid Price per case for NOI ($)]]+Table14[[#This Row],[Region 2: Fixed Fee Per Case ($)]])/Table14[[#This Row],['# of CN Servings per case]]</f>
        <v>#DIV/0!</v>
      </c>
      <c r="X61" s="82" t="e">
        <f>Table14[[#This Row],[Total Cost Per Serving (O+Q)/J]]*Table14[[#This Row],[Estimated Servings Annual]]</f>
        <v>#DIV/0!</v>
      </c>
    </row>
    <row r="62" spans="1:24" x14ac:dyDescent="0.35">
      <c r="A62" s="30" t="s">
        <v>27</v>
      </c>
      <c r="B62" s="12" t="s">
        <v>85</v>
      </c>
      <c r="C62" s="7" t="s">
        <v>50</v>
      </c>
      <c r="D62" s="7"/>
      <c r="E62" s="7"/>
      <c r="F62" s="7"/>
      <c r="G62" s="7"/>
      <c r="H62" s="7"/>
      <c r="I62" s="7"/>
      <c r="J62" s="7"/>
      <c r="K62" s="49">
        <v>150000</v>
      </c>
      <c r="L62" s="7"/>
      <c r="M62" s="7"/>
      <c r="N62" s="7"/>
      <c r="O62" s="7"/>
      <c r="P62" s="7"/>
      <c r="Q62" s="7"/>
      <c r="R62" s="7"/>
      <c r="S62" s="81">
        <f>(Table14[[#This Row],[Commercial Bid Price per case for NOI ($)]]-Table14[[#This Row],[Pass-Thru Value per case ($)]])+Table14[[#This Row],[Region 1: Fixed Fee Per Case ($)]]</f>
        <v>0</v>
      </c>
      <c r="T62" s="77" t="e">
        <f>(Table14[[#This Row],[Commercial Bid Price per case for NOI ($)]]+Table14[[#This Row],[Region 1: Fixed Fee Per Case ($)]])/Table14[[#This Row],['# of CN Servings per case]]</f>
        <v>#DIV/0!</v>
      </c>
      <c r="U62" s="77" t="e">
        <f>Table14[[#This Row],[Total Cost Per Serving (O+P)/J]]*Table14[[#This Row],[Estimated Servings Annual]]</f>
        <v>#DIV/0!</v>
      </c>
      <c r="V62" s="81">
        <f>(Table14[[#This Row],[Commercial Bid Price per case for NOI ($)]]-Table14[[#This Row],[Pass-Thru Value per case ($)]])+Table14[[#This Row],[Region 2: Fixed Fee Per Case ($)]]</f>
        <v>0</v>
      </c>
      <c r="W62" s="77" t="e">
        <f>(Table14[[#This Row],[Commercial Bid Price per case for NOI ($)]]+Table14[[#This Row],[Region 2: Fixed Fee Per Case ($)]])/Table14[[#This Row],['# of CN Servings per case]]</f>
        <v>#DIV/0!</v>
      </c>
      <c r="X62" s="82" t="e">
        <f>Table14[[#This Row],[Total Cost Per Serving (O+Q)/J]]*Table14[[#This Row],[Estimated Servings Annual]]</f>
        <v>#DIV/0!</v>
      </c>
    </row>
    <row r="63" spans="1:24" x14ac:dyDescent="0.35">
      <c r="A63" s="30" t="s">
        <v>27</v>
      </c>
      <c r="B63" s="12" t="s">
        <v>85</v>
      </c>
      <c r="C63" s="7" t="s">
        <v>13</v>
      </c>
      <c r="D63" s="7"/>
      <c r="E63" s="7"/>
      <c r="F63" s="7"/>
      <c r="G63" s="7"/>
      <c r="H63" s="7"/>
      <c r="I63" s="7"/>
      <c r="J63" s="7"/>
      <c r="K63" s="49">
        <v>150000</v>
      </c>
      <c r="L63" s="7"/>
      <c r="M63" s="7"/>
      <c r="N63" s="7"/>
      <c r="O63" s="7"/>
      <c r="P63" s="7"/>
      <c r="Q63" s="7"/>
      <c r="R63" s="7"/>
      <c r="S63" s="81">
        <f>(Table14[[#This Row],[Commercial Bid Price per case for NOI ($)]]-Table14[[#This Row],[Pass-Thru Value per case ($)]])+Table14[[#This Row],[Region 1: Fixed Fee Per Case ($)]]</f>
        <v>0</v>
      </c>
      <c r="T63" s="77" t="e">
        <f>(Table14[[#This Row],[Commercial Bid Price per case for NOI ($)]]+Table14[[#This Row],[Region 1: Fixed Fee Per Case ($)]])/Table14[[#This Row],['# of CN Servings per case]]</f>
        <v>#DIV/0!</v>
      </c>
      <c r="U63" s="77" t="e">
        <f>Table14[[#This Row],[Total Cost Per Serving (O+P)/J]]*Table14[[#This Row],[Estimated Servings Annual]]</f>
        <v>#DIV/0!</v>
      </c>
      <c r="V63" s="81">
        <f>(Table14[[#This Row],[Commercial Bid Price per case for NOI ($)]]-Table14[[#This Row],[Pass-Thru Value per case ($)]])+Table14[[#This Row],[Region 2: Fixed Fee Per Case ($)]]</f>
        <v>0</v>
      </c>
      <c r="W63" s="77" t="e">
        <f>(Table14[[#This Row],[Commercial Bid Price per case for NOI ($)]]+Table14[[#This Row],[Region 2: Fixed Fee Per Case ($)]])/Table14[[#This Row],['# of CN Servings per case]]</f>
        <v>#DIV/0!</v>
      </c>
      <c r="X63" s="82" t="e">
        <f>Table14[[#This Row],[Total Cost Per Serving (O+Q)/J]]*Table14[[#This Row],[Estimated Servings Annual]]</f>
        <v>#DIV/0!</v>
      </c>
    </row>
    <row r="64" spans="1:24" x14ac:dyDescent="0.35">
      <c r="A64" s="30" t="s">
        <v>27</v>
      </c>
      <c r="B64" s="12" t="s">
        <v>85</v>
      </c>
      <c r="C64" s="7" t="s">
        <v>13</v>
      </c>
      <c r="D64" s="7"/>
      <c r="E64" s="7"/>
      <c r="F64" s="7"/>
      <c r="G64" s="7"/>
      <c r="H64" s="7"/>
      <c r="I64" s="7"/>
      <c r="J64" s="7"/>
      <c r="K64" s="49">
        <v>150000</v>
      </c>
      <c r="L64" s="7"/>
      <c r="M64" s="7"/>
      <c r="N64" s="7"/>
      <c r="O64" s="7"/>
      <c r="P64" s="7"/>
      <c r="Q64" s="7"/>
      <c r="R64" s="7"/>
      <c r="S64" s="81">
        <f>(Table14[[#This Row],[Commercial Bid Price per case for NOI ($)]]-Table14[[#This Row],[Pass-Thru Value per case ($)]])+Table14[[#This Row],[Region 1: Fixed Fee Per Case ($)]]</f>
        <v>0</v>
      </c>
      <c r="T64" s="77" t="e">
        <f>(Table14[[#This Row],[Commercial Bid Price per case for NOI ($)]]+Table14[[#This Row],[Region 1: Fixed Fee Per Case ($)]])/Table14[[#This Row],['# of CN Servings per case]]</f>
        <v>#DIV/0!</v>
      </c>
      <c r="U64" s="77" t="e">
        <f>Table14[[#This Row],[Total Cost Per Serving (O+P)/J]]*Table14[[#This Row],[Estimated Servings Annual]]</f>
        <v>#DIV/0!</v>
      </c>
      <c r="V64" s="81">
        <f>(Table14[[#This Row],[Commercial Bid Price per case for NOI ($)]]-Table14[[#This Row],[Pass-Thru Value per case ($)]])+Table14[[#This Row],[Region 2: Fixed Fee Per Case ($)]]</f>
        <v>0</v>
      </c>
      <c r="W64" s="77" t="e">
        <f>(Table14[[#This Row],[Commercial Bid Price per case for NOI ($)]]+Table14[[#This Row],[Region 2: Fixed Fee Per Case ($)]])/Table14[[#This Row],['# of CN Servings per case]]</f>
        <v>#DIV/0!</v>
      </c>
      <c r="X64" s="82" t="e">
        <f>Table14[[#This Row],[Total Cost Per Serving (O+Q)/J]]*Table14[[#This Row],[Estimated Servings Annual]]</f>
        <v>#DIV/0!</v>
      </c>
    </row>
    <row r="65" spans="1:24" x14ac:dyDescent="0.35">
      <c r="A65" s="30" t="s">
        <v>27</v>
      </c>
      <c r="B65" s="12" t="s">
        <v>85</v>
      </c>
      <c r="C65" s="7" t="s">
        <v>13</v>
      </c>
      <c r="D65" s="7"/>
      <c r="E65" s="7"/>
      <c r="F65" s="7"/>
      <c r="G65" s="7"/>
      <c r="H65" s="7"/>
      <c r="I65" s="7"/>
      <c r="J65" s="7"/>
      <c r="K65" s="49">
        <v>150000</v>
      </c>
      <c r="L65" s="7"/>
      <c r="M65" s="7"/>
      <c r="N65" s="7"/>
      <c r="O65" s="7"/>
      <c r="P65" s="7"/>
      <c r="Q65" s="7"/>
      <c r="R65" s="7"/>
      <c r="S65" s="81">
        <f>(Table14[[#This Row],[Commercial Bid Price per case for NOI ($)]]-Table14[[#This Row],[Pass-Thru Value per case ($)]])+Table14[[#This Row],[Region 1: Fixed Fee Per Case ($)]]</f>
        <v>0</v>
      </c>
      <c r="T65" s="77" t="e">
        <f>(Table14[[#This Row],[Commercial Bid Price per case for NOI ($)]]+Table14[[#This Row],[Region 1: Fixed Fee Per Case ($)]])/Table14[[#This Row],['# of CN Servings per case]]</f>
        <v>#DIV/0!</v>
      </c>
      <c r="U65" s="77" t="e">
        <f>Table14[[#This Row],[Total Cost Per Serving (O+P)/J]]*Table14[[#This Row],[Estimated Servings Annual]]</f>
        <v>#DIV/0!</v>
      </c>
      <c r="V65" s="81">
        <f>(Table14[[#This Row],[Commercial Bid Price per case for NOI ($)]]-Table14[[#This Row],[Pass-Thru Value per case ($)]])+Table14[[#This Row],[Region 2: Fixed Fee Per Case ($)]]</f>
        <v>0</v>
      </c>
      <c r="W65" s="77" t="e">
        <f>(Table14[[#This Row],[Commercial Bid Price per case for NOI ($)]]+Table14[[#This Row],[Region 2: Fixed Fee Per Case ($)]])/Table14[[#This Row],['# of CN Servings per case]]</f>
        <v>#DIV/0!</v>
      </c>
      <c r="X65" s="82" t="e">
        <f>Table14[[#This Row],[Total Cost Per Serving (O+Q)/J]]*Table14[[#This Row],[Estimated Servings Annual]]</f>
        <v>#DIV/0!</v>
      </c>
    </row>
    <row r="66" spans="1:24" ht="15" thickBot="1" x14ac:dyDescent="0.4">
      <c r="A66" s="31" t="s">
        <v>27</v>
      </c>
      <c r="B66" s="13" t="s">
        <v>85</v>
      </c>
      <c r="C66" s="8" t="s">
        <v>13</v>
      </c>
      <c r="D66" s="8"/>
      <c r="E66" s="8"/>
      <c r="F66" s="8"/>
      <c r="G66" s="8"/>
      <c r="H66" s="8"/>
      <c r="I66" s="8"/>
      <c r="J66" s="8"/>
      <c r="K66" s="50">
        <v>150000</v>
      </c>
      <c r="L66" s="8"/>
      <c r="M66" s="8"/>
      <c r="N66" s="8"/>
      <c r="O66" s="8"/>
      <c r="P66" s="8"/>
      <c r="Q66" s="8"/>
      <c r="R66" s="8"/>
      <c r="S66" s="83">
        <f>(Table14[[#This Row],[Commercial Bid Price per case for NOI ($)]]-Table14[[#This Row],[Pass-Thru Value per case ($)]])+Table14[[#This Row],[Region 1: Fixed Fee Per Case ($)]]</f>
        <v>0</v>
      </c>
      <c r="T66" s="78" t="e">
        <f>(Table14[[#This Row],[Commercial Bid Price per case for NOI ($)]]+Table14[[#This Row],[Region 1: Fixed Fee Per Case ($)]])/Table14[[#This Row],['# of CN Servings per case]]</f>
        <v>#DIV/0!</v>
      </c>
      <c r="U66" s="78" t="e">
        <f>Table14[[#This Row],[Total Cost Per Serving (O+P)/J]]*Table14[[#This Row],[Estimated Servings Annual]]</f>
        <v>#DIV/0!</v>
      </c>
      <c r="V66" s="83">
        <f>(Table14[[#This Row],[Commercial Bid Price per case for NOI ($)]]-Table14[[#This Row],[Pass-Thru Value per case ($)]])+Table14[[#This Row],[Region 2: Fixed Fee Per Case ($)]]</f>
        <v>0</v>
      </c>
      <c r="W66" s="78" t="e">
        <f>(Table14[[#This Row],[Commercial Bid Price per case for NOI ($)]]+Table14[[#This Row],[Region 2: Fixed Fee Per Case ($)]])/Table14[[#This Row],['# of CN Servings per case]]</f>
        <v>#DIV/0!</v>
      </c>
      <c r="X66" s="84" t="e">
        <f>Table14[[#This Row],[Total Cost Per Serving (O+Q)/J]]*Table14[[#This Row],[Estimated Servings Annual]]</f>
        <v>#DIV/0!</v>
      </c>
    </row>
  </sheetData>
  <sheetProtection algorithmName="SHA-512" hashValue="N7vyKudf7j6S5M+Wx9XdDSKVwpNBKFLxFRwt71TP3JByDYn94MLXm/ZEJhcGZjpuRDeejU7vwax/FptIt7ViAg==" saltValue="vcFAzhaXcAy76nqFDDyyDA==" spinCount="100000" sheet="1" objects="1" scenarios="1" formatCells="0" formatColumns="0"/>
  <mergeCells count="3">
    <mergeCell ref="E1:G1"/>
    <mergeCell ref="S1:U1"/>
    <mergeCell ref="V1:X1"/>
  </mergeCell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153DA-81A0-4773-BB74-5D16BAF22185}">
  <sheetPr codeName="Sheet3"/>
  <dimension ref="A1:X26"/>
  <sheetViews>
    <sheetView workbookViewId="0">
      <pane xSplit="3" ySplit="2" topLeftCell="D3" activePane="bottomRight" state="frozen"/>
      <selection activeCell="A24" sqref="A24"/>
      <selection pane="topRight" activeCell="A24" sqref="A24"/>
      <selection pane="bottomLeft" activeCell="A24" sqref="A24"/>
      <selection pane="bottomRight" activeCell="A24" sqref="A24"/>
    </sheetView>
  </sheetViews>
  <sheetFormatPr defaultRowHeight="14.5" x14ac:dyDescent="0.35"/>
  <cols>
    <col min="1" max="1" width="10.7265625" style="9" bestFit="1" customWidth="1"/>
    <col min="2" max="2" width="17.81640625" style="9" bestFit="1" customWidth="1"/>
    <col min="3" max="3" width="24.54296875" style="9" bestFit="1" customWidth="1"/>
    <col min="4" max="4" width="20.81640625" style="9" bestFit="1" customWidth="1"/>
    <col min="5" max="5" width="23" style="9" bestFit="1" customWidth="1"/>
    <col min="6" max="6" width="12.90625" style="9" bestFit="1" customWidth="1"/>
    <col min="7" max="7" width="15" style="9" bestFit="1" customWidth="1"/>
    <col min="8" max="8" width="14.54296875" style="9" bestFit="1" customWidth="1"/>
    <col min="9" max="9" width="13.7265625" style="9" bestFit="1" customWidth="1"/>
    <col min="10" max="10" width="19.81640625" style="63" bestFit="1" customWidth="1"/>
    <col min="11" max="11" width="19.453125" style="9" bestFit="1" customWidth="1"/>
    <col min="12" max="12" width="20.7265625" style="9" bestFit="1" customWidth="1"/>
    <col min="13" max="13" width="17.81640625" style="9" bestFit="1" customWidth="1"/>
    <col min="14" max="14" width="16.90625" style="9" bestFit="1" customWidth="1"/>
    <col min="15" max="15" width="17.81640625" style="9" bestFit="1" customWidth="1"/>
    <col min="16" max="16" width="19.90625" style="9" bestFit="1" customWidth="1"/>
    <col min="17" max="17" width="16.90625" style="9" bestFit="1" customWidth="1"/>
    <col min="18" max="18" width="14.54296875" style="9" bestFit="1" customWidth="1"/>
    <col min="19" max="19" width="17.54296875" style="9" bestFit="1" customWidth="1"/>
    <col min="20" max="20" width="15.81640625" style="9" bestFit="1" customWidth="1"/>
    <col min="21" max="21" width="15" style="9" bestFit="1" customWidth="1"/>
    <col min="22" max="22" width="17.26953125" style="9" bestFit="1" customWidth="1"/>
    <col min="23" max="23" width="16.6328125" style="9" bestFit="1" customWidth="1"/>
    <col min="24" max="24" width="15" style="9" bestFit="1" customWidth="1"/>
    <col min="25" max="16384" width="8.7265625" style="9"/>
  </cols>
  <sheetData>
    <row r="1" spans="1:24" x14ac:dyDescent="0.35">
      <c r="D1" s="10" t="s">
        <v>63</v>
      </c>
      <c r="E1" s="97">
        <f>Instructions!A2</f>
        <v>0</v>
      </c>
      <c r="F1" s="97"/>
      <c r="G1" s="97"/>
      <c r="S1" s="98" t="s">
        <v>72</v>
      </c>
      <c r="T1" s="99"/>
      <c r="U1" s="100"/>
      <c r="V1" s="98" t="s">
        <v>73</v>
      </c>
      <c r="W1" s="99"/>
      <c r="X1" s="100"/>
    </row>
    <row r="2" spans="1:24" s="10" customFormat="1" ht="58.5" thickBot="1" x14ac:dyDescent="0.4">
      <c r="A2" s="10" t="s">
        <v>14</v>
      </c>
      <c r="B2" s="10" t="s">
        <v>3</v>
      </c>
      <c r="C2" s="10" t="s">
        <v>23</v>
      </c>
      <c r="D2" s="10" t="s">
        <v>66</v>
      </c>
      <c r="E2" s="10" t="s">
        <v>182</v>
      </c>
      <c r="F2" s="10" t="s">
        <v>0</v>
      </c>
      <c r="G2" s="10" t="s">
        <v>4</v>
      </c>
      <c r="H2" s="10" t="s">
        <v>20</v>
      </c>
      <c r="I2" s="10" t="s">
        <v>1</v>
      </c>
      <c r="J2" s="10" t="s">
        <v>5</v>
      </c>
      <c r="K2" s="18" t="s">
        <v>6</v>
      </c>
      <c r="L2" s="10" t="s">
        <v>2</v>
      </c>
      <c r="M2" s="10" t="s">
        <v>21</v>
      </c>
      <c r="N2" s="10" t="s">
        <v>65</v>
      </c>
      <c r="O2" s="10" t="s">
        <v>22</v>
      </c>
      <c r="P2" s="10" t="s">
        <v>70</v>
      </c>
      <c r="Q2" s="10" t="s">
        <v>71</v>
      </c>
      <c r="R2" s="10" t="s">
        <v>19</v>
      </c>
      <c r="S2" s="64" t="s">
        <v>77</v>
      </c>
      <c r="T2" s="65" t="s">
        <v>79</v>
      </c>
      <c r="U2" s="66" t="s">
        <v>80</v>
      </c>
      <c r="V2" s="85" t="s">
        <v>78</v>
      </c>
      <c r="W2" s="86" t="s">
        <v>81</v>
      </c>
      <c r="X2" s="87" t="s">
        <v>82</v>
      </c>
    </row>
    <row r="3" spans="1:24" x14ac:dyDescent="0.35">
      <c r="A3" s="29" t="s">
        <v>39</v>
      </c>
      <c r="B3" s="11" t="s">
        <v>87</v>
      </c>
      <c r="C3" s="6" t="s">
        <v>64</v>
      </c>
      <c r="D3" s="6"/>
      <c r="E3" s="6"/>
      <c r="F3" s="6"/>
      <c r="G3" s="6"/>
      <c r="H3" s="6"/>
      <c r="I3" s="6"/>
      <c r="J3" s="6"/>
      <c r="K3" s="48">
        <v>475000</v>
      </c>
      <c r="L3" s="6"/>
      <c r="M3" s="6"/>
      <c r="N3" s="6"/>
      <c r="O3" s="6"/>
      <c r="P3" s="6"/>
      <c r="Q3" s="6"/>
      <c r="R3" s="6"/>
      <c r="S3" s="67">
        <f>(Table142[[#This Row],[Commercial Bid Price per case for NOI ($)]]-Table142[[#This Row],[Pass-Thru Value per case ($)]])+Table142[[#This Row],[Region 1: Fixed Fee Per Case ($)]]</f>
        <v>0</v>
      </c>
      <c r="T3" s="68" t="e">
        <f>(Table142[[#This Row],[Commercial Bid Price per case for NOI ($)]]+Table142[[#This Row],[Region 1: Fixed Fee Per Case ($)]])/Table142[[#This Row],['# of CN Servings per case]]</f>
        <v>#DIV/0!</v>
      </c>
      <c r="U3" s="68" t="e">
        <f>Table142[[#This Row],[Total Cost Per Serving (O+P)/J]]*Table142[[#This Row],[Estimated Servings Annual]]</f>
        <v>#DIV/0!</v>
      </c>
      <c r="V3" s="67">
        <f>(Table142[[#This Row],[Commercial Bid Price per case for NOI ($)]]-Table142[[#This Row],[Pass-Thru Value per case ($)]])+Table142[[#This Row],[Region 2: Fixed Fee Per Case ($)]]</f>
        <v>0</v>
      </c>
      <c r="W3" s="68" t="e">
        <f>(Table142[[#This Row],[Commercial Bid Price per case for NOI ($)]]+Table142[[#This Row],[Region 2: Fixed Fee Per Case ($)]])/Table142[[#This Row],['# of CN Servings per case]]</f>
        <v>#DIV/0!</v>
      </c>
      <c r="X3" s="69" t="e">
        <f>Table142[[#This Row],[Total Cost Per Serving (O+Q)/J]]*Table142[[#This Row],[Estimated Servings Annual]]</f>
        <v>#DIV/0!</v>
      </c>
    </row>
    <row r="4" spans="1:24" x14ac:dyDescent="0.35">
      <c r="A4" s="30" t="s">
        <v>39</v>
      </c>
      <c r="B4" s="12" t="s">
        <v>87</v>
      </c>
      <c r="C4" s="7" t="s">
        <v>64</v>
      </c>
      <c r="D4" s="7"/>
      <c r="E4" s="7"/>
      <c r="F4" s="7"/>
      <c r="G4" s="7"/>
      <c r="H4" s="7"/>
      <c r="I4" s="7"/>
      <c r="J4" s="7"/>
      <c r="K4" s="49">
        <v>475000</v>
      </c>
      <c r="L4" s="7"/>
      <c r="M4" s="7"/>
      <c r="N4" s="7"/>
      <c r="O4" s="7"/>
      <c r="P4" s="7"/>
      <c r="Q4" s="7"/>
      <c r="R4" s="7"/>
      <c r="S4" s="70">
        <f>(Table142[[#This Row],[Commercial Bid Price per case for NOI ($)]]-Table142[[#This Row],[Pass-Thru Value per case ($)]])+Table142[[#This Row],[Region 1: Fixed Fee Per Case ($)]]</f>
        <v>0</v>
      </c>
      <c r="T4" s="71" t="e">
        <f>(Table142[[#This Row],[Commercial Bid Price per case for NOI ($)]]+Table142[[#This Row],[Region 1: Fixed Fee Per Case ($)]])/Table142[[#This Row],['# of CN Servings per case]]</f>
        <v>#DIV/0!</v>
      </c>
      <c r="U4" s="71" t="e">
        <f>Table142[[#This Row],[Total Cost Per Serving (O+P)/J]]*Table142[[#This Row],[Estimated Servings Annual]]</f>
        <v>#DIV/0!</v>
      </c>
      <c r="V4" s="70">
        <f>(Table142[[#This Row],[Commercial Bid Price per case for NOI ($)]]-Table142[[#This Row],[Pass-Thru Value per case ($)]])+Table142[[#This Row],[Region 2: Fixed Fee Per Case ($)]]</f>
        <v>0</v>
      </c>
      <c r="W4" s="71" t="e">
        <f>(Table142[[#This Row],[Commercial Bid Price per case for NOI ($)]]+Table142[[#This Row],[Region 2: Fixed Fee Per Case ($)]])/Table142[[#This Row],['# of CN Servings per case]]</f>
        <v>#DIV/0!</v>
      </c>
      <c r="X4" s="72" t="e">
        <f>Table142[[#This Row],[Total Cost Per Serving (O+Q)/J]]*Table142[[#This Row],[Estimated Servings Annual]]</f>
        <v>#DIV/0!</v>
      </c>
    </row>
    <row r="5" spans="1:24" x14ac:dyDescent="0.35">
      <c r="A5" s="30" t="s">
        <v>39</v>
      </c>
      <c r="B5" s="12" t="s">
        <v>87</v>
      </c>
      <c r="C5" s="7" t="s">
        <v>50</v>
      </c>
      <c r="D5" s="7"/>
      <c r="E5" s="7"/>
      <c r="F5" s="7"/>
      <c r="G5" s="7"/>
      <c r="H5" s="7"/>
      <c r="I5" s="7"/>
      <c r="J5" s="7"/>
      <c r="K5" s="49">
        <v>475000</v>
      </c>
      <c r="L5" s="7"/>
      <c r="M5" s="7"/>
      <c r="N5" s="7"/>
      <c r="O5" s="7"/>
      <c r="P5" s="7"/>
      <c r="Q5" s="7"/>
      <c r="R5" s="7"/>
      <c r="S5" s="70">
        <f>(Table142[[#This Row],[Commercial Bid Price per case for NOI ($)]]-Table142[[#This Row],[Pass-Thru Value per case ($)]])+Table142[[#This Row],[Region 1: Fixed Fee Per Case ($)]]</f>
        <v>0</v>
      </c>
      <c r="T5" s="71" t="e">
        <f>(Table142[[#This Row],[Commercial Bid Price per case for NOI ($)]]+Table142[[#This Row],[Region 1: Fixed Fee Per Case ($)]])/Table142[[#This Row],['# of CN Servings per case]]</f>
        <v>#DIV/0!</v>
      </c>
      <c r="U5" s="71" t="e">
        <f>Table142[[#This Row],[Total Cost Per Serving (O+P)/J]]*Table142[[#This Row],[Estimated Servings Annual]]</f>
        <v>#DIV/0!</v>
      </c>
      <c r="V5" s="70">
        <f>(Table142[[#This Row],[Commercial Bid Price per case for NOI ($)]]-Table142[[#This Row],[Pass-Thru Value per case ($)]])+Table142[[#This Row],[Region 2: Fixed Fee Per Case ($)]]</f>
        <v>0</v>
      </c>
      <c r="W5" s="71" t="e">
        <f>(Table142[[#This Row],[Commercial Bid Price per case for NOI ($)]]+Table142[[#This Row],[Region 2: Fixed Fee Per Case ($)]])/Table142[[#This Row],['# of CN Servings per case]]</f>
        <v>#DIV/0!</v>
      </c>
      <c r="X5" s="72" t="e">
        <f>Table142[[#This Row],[Total Cost Per Serving (O+Q)/J]]*Table142[[#This Row],[Estimated Servings Annual]]</f>
        <v>#DIV/0!</v>
      </c>
    </row>
    <row r="6" spans="1:24" x14ac:dyDescent="0.35">
      <c r="A6" s="30" t="s">
        <v>39</v>
      </c>
      <c r="B6" s="12" t="s">
        <v>87</v>
      </c>
      <c r="C6" s="7" t="s">
        <v>50</v>
      </c>
      <c r="D6" s="7"/>
      <c r="E6" s="7"/>
      <c r="F6" s="7"/>
      <c r="G6" s="7"/>
      <c r="H6" s="7"/>
      <c r="I6" s="7"/>
      <c r="J6" s="7"/>
      <c r="K6" s="49">
        <v>475000</v>
      </c>
      <c r="L6" s="7"/>
      <c r="M6" s="7"/>
      <c r="N6" s="7"/>
      <c r="O6" s="7"/>
      <c r="P6" s="7"/>
      <c r="Q6" s="7"/>
      <c r="R6" s="7"/>
      <c r="S6" s="70">
        <f>(Table142[[#This Row],[Commercial Bid Price per case for NOI ($)]]-Table142[[#This Row],[Pass-Thru Value per case ($)]])+Table142[[#This Row],[Region 1: Fixed Fee Per Case ($)]]</f>
        <v>0</v>
      </c>
      <c r="T6" s="71" t="e">
        <f>(Table142[[#This Row],[Commercial Bid Price per case for NOI ($)]]+Table142[[#This Row],[Region 1: Fixed Fee Per Case ($)]])/Table142[[#This Row],['# of CN Servings per case]]</f>
        <v>#DIV/0!</v>
      </c>
      <c r="U6" s="71" t="e">
        <f>Table142[[#This Row],[Total Cost Per Serving (O+P)/J]]*Table142[[#This Row],[Estimated Servings Annual]]</f>
        <v>#DIV/0!</v>
      </c>
      <c r="V6" s="70">
        <f>(Table142[[#This Row],[Commercial Bid Price per case for NOI ($)]]-Table142[[#This Row],[Pass-Thru Value per case ($)]])+Table142[[#This Row],[Region 2: Fixed Fee Per Case ($)]]</f>
        <v>0</v>
      </c>
      <c r="W6" s="71" t="e">
        <f>(Table142[[#This Row],[Commercial Bid Price per case for NOI ($)]]+Table142[[#This Row],[Region 2: Fixed Fee Per Case ($)]])/Table142[[#This Row],['# of CN Servings per case]]</f>
        <v>#DIV/0!</v>
      </c>
      <c r="X6" s="72" t="e">
        <f>Table142[[#This Row],[Total Cost Per Serving (O+Q)/J]]*Table142[[#This Row],[Estimated Servings Annual]]</f>
        <v>#DIV/0!</v>
      </c>
    </row>
    <row r="7" spans="1:24" x14ac:dyDescent="0.35">
      <c r="A7" s="30" t="s">
        <v>39</v>
      </c>
      <c r="B7" s="12" t="s">
        <v>87</v>
      </c>
      <c r="C7" s="7" t="s">
        <v>13</v>
      </c>
      <c r="D7" s="7"/>
      <c r="E7" s="7"/>
      <c r="F7" s="7"/>
      <c r="G7" s="7"/>
      <c r="H7" s="7"/>
      <c r="I7" s="7"/>
      <c r="J7" s="7"/>
      <c r="K7" s="49">
        <v>475000</v>
      </c>
      <c r="L7" s="7"/>
      <c r="M7" s="7"/>
      <c r="N7" s="7"/>
      <c r="O7" s="7"/>
      <c r="P7" s="7"/>
      <c r="Q7" s="7"/>
      <c r="R7" s="7"/>
      <c r="S7" s="70">
        <f>(Table142[[#This Row],[Commercial Bid Price per case for NOI ($)]]-Table142[[#This Row],[Pass-Thru Value per case ($)]])+Table142[[#This Row],[Region 1: Fixed Fee Per Case ($)]]</f>
        <v>0</v>
      </c>
      <c r="T7" s="71" t="e">
        <f>(Table142[[#This Row],[Commercial Bid Price per case for NOI ($)]]+Table142[[#This Row],[Region 1: Fixed Fee Per Case ($)]])/Table142[[#This Row],['# of CN Servings per case]]</f>
        <v>#DIV/0!</v>
      </c>
      <c r="U7" s="71" t="e">
        <f>Table142[[#This Row],[Total Cost Per Serving (O+P)/J]]*Table142[[#This Row],[Estimated Servings Annual]]</f>
        <v>#DIV/0!</v>
      </c>
      <c r="V7" s="70">
        <f>(Table142[[#This Row],[Commercial Bid Price per case for NOI ($)]]-Table142[[#This Row],[Pass-Thru Value per case ($)]])+Table142[[#This Row],[Region 2: Fixed Fee Per Case ($)]]</f>
        <v>0</v>
      </c>
      <c r="W7" s="71" t="e">
        <f>(Table142[[#This Row],[Commercial Bid Price per case for NOI ($)]]+Table142[[#This Row],[Region 2: Fixed Fee Per Case ($)]])/Table142[[#This Row],['# of CN Servings per case]]</f>
        <v>#DIV/0!</v>
      </c>
      <c r="X7" s="72" t="e">
        <f>Table142[[#This Row],[Total Cost Per Serving (O+Q)/J]]*Table142[[#This Row],[Estimated Servings Annual]]</f>
        <v>#DIV/0!</v>
      </c>
    </row>
    <row r="8" spans="1:24" x14ac:dyDescent="0.35">
      <c r="A8" s="30" t="s">
        <v>39</v>
      </c>
      <c r="B8" s="12" t="s">
        <v>87</v>
      </c>
      <c r="C8" s="7" t="s">
        <v>13</v>
      </c>
      <c r="D8" s="7"/>
      <c r="E8" s="7"/>
      <c r="F8" s="7"/>
      <c r="G8" s="7"/>
      <c r="H8" s="7"/>
      <c r="I8" s="7"/>
      <c r="J8" s="7"/>
      <c r="K8" s="49">
        <v>475000</v>
      </c>
      <c r="L8" s="7"/>
      <c r="M8" s="7"/>
      <c r="N8" s="7"/>
      <c r="O8" s="7"/>
      <c r="P8" s="7"/>
      <c r="Q8" s="7"/>
      <c r="R8" s="7"/>
      <c r="S8" s="70">
        <f>(Table142[[#This Row],[Commercial Bid Price per case for NOI ($)]]-Table142[[#This Row],[Pass-Thru Value per case ($)]])+Table142[[#This Row],[Region 1: Fixed Fee Per Case ($)]]</f>
        <v>0</v>
      </c>
      <c r="T8" s="71" t="e">
        <f>(Table142[[#This Row],[Commercial Bid Price per case for NOI ($)]]+Table142[[#This Row],[Region 1: Fixed Fee Per Case ($)]])/Table142[[#This Row],['# of CN Servings per case]]</f>
        <v>#DIV/0!</v>
      </c>
      <c r="U8" s="71" t="e">
        <f>Table142[[#This Row],[Total Cost Per Serving (O+P)/J]]*Table142[[#This Row],[Estimated Servings Annual]]</f>
        <v>#DIV/0!</v>
      </c>
      <c r="V8" s="70">
        <f>(Table142[[#This Row],[Commercial Bid Price per case for NOI ($)]]-Table142[[#This Row],[Pass-Thru Value per case ($)]])+Table142[[#This Row],[Region 2: Fixed Fee Per Case ($)]]</f>
        <v>0</v>
      </c>
      <c r="W8" s="71" t="e">
        <f>(Table142[[#This Row],[Commercial Bid Price per case for NOI ($)]]+Table142[[#This Row],[Region 2: Fixed Fee Per Case ($)]])/Table142[[#This Row],['# of CN Servings per case]]</f>
        <v>#DIV/0!</v>
      </c>
      <c r="X8" s="72" t="e">
        <f>Table142[[#This Row],[Total Cost Per Serving (O+Q)/J]]*Table142[[#This Row],[Estimated Servings Annual]]</f>
        <v>#DIV/0!</v>
      </c>
    </row>
    <row r="9" spans="1:24" x14ac:dyDescent="0.35">
      <c r="A9" s="30" t="s">
        <v>39</v>
      </c>
      <c r="B9" s="12" t="s">
        <v>87</v>
      </c>
      <c r="C9" s="7" t="s">
        <v>13</v>
      </c>
      <c r="D9" s="7"/>
      <c r="E9" s="7"/>
      <c r="F9" s="7"/>
      <c r="G9" s="7"/>
      <c r="H9" s="7"/>
      <c r="I9" s="7"/>
      <c r="J9" s="7"/>
      <c r="K9" s="49">
        <v>475000</v>
      </c>
      <c r="L9" s="7"/>
      <c r="M9" s="7"/>
      <c r="N9" s="7"/>
      <c r="O9" s="7"/>
      <c r="P9" s="7"/>
      <c r="Q9" s="7"/>
      <c r="R9" s="7"/>
      <c r="S9" s="70">
        <f>(Table142[[#This Row],[Commercial Bid Price per case for NOI ($)]]-Table142[[#This Row],[Pass-Thru Value per case ($)]])+Table142[[#This Row],[Region 1: Fixed Fee Per Case ($)]]</f>
        <v>0</v>
      </c>
      <c r="T9" s="71" t="e">
        <f>(Table142[[#This Row],[Commercial Bid Price per case for NOI ($)]]+Table142[[#This Row],[Region 1: Fixed Fee Per Case ($)]])/Table142[[#This Row],['# of CN Servings per case]]</f>
        <v>#DIV/0!</v>
      </c>
      <c r="U9" s="71" t="e">
        <f>Table142[[#This Row],[Total Cost Per Serving (O+P)/J]]*Table142[[#This Row],[Estimated Servings Annual]]</f>
        <v>#DIV/0!</v>
      </c>
      <c r="V9" s="70">
        <f>(Table142[[#This Row],[Commercial Bid Price per case for NOI ($)]]-Table142[[#This Row],[Pass-Thru Value per case ($)]])+Table142[[#This Row],[Region 2: Fixed Fee Per Case ($)]]</f>
        <v>0</v>
      </c>
      <c r="W9" s="71" t="e">
        <f>(Table142[[#This Row],[Commercial Bid Price per case for NOI ($)]]+Table142[[#This Row],[Region 2: Fixed Fee Per Case ($)]])/Table142[[#This Row],['# of CN Servings per case]]</f>
        <v>#DIV/0!</v>
      </c>
      <c r="X9" s="72" t="e">
        <f>Table142[[#This Row],[Total Cost Per Serving (O+Q)/J]]*Table142[[#This Row],[Estimated Servings Annual]]</f>
        <v>#DIV/0!</v>
      </c>
    </row>
    <row r="10" spans="1:24" ht="15" thickBot="1" x14ac:dyDescent="0.4">
      <c r="A10" s="30" t="s">
        <v>39</v>
      </c>
      <c r="B10" s="13" t="s">
        <v>87</v>
      </c>
      <c r="C10" s="8" t="s">
        <v>13</v>
      </c>
      <c r="D10" s="8"/>
      <c r="E10" s="8"/>
      <c r="F10" s="8"/>
      <c r="G10" s="8"/>
      <c r="H10" s="8"/>
      <c r="I10" s="8"/>
      <c r="J10" s="8"/>
      <c r="K10" s="50">
        <v>475000</v>
      </c>
      <c r="L10" s="8"/>
      <c r="M10" s="8"/>
      <c r="N10" s="8"/>
      <c r="O10" s="8"/>
      <c r="P10" s="8"/>
      <c r="Q10" s="8"/>
      <c r="R10" s="8"/>
      <c r="S10" s="73">
        <f>(Table142[[#This Row],[Commercial Bid Price per case for NOI ($)]]-Table142[[#This Row],[Pass-Thru Value per case ($)]])+Table142[[#This Row],[Region 1: Fixed Fee Per Case ($)]]</f>
        <v>0</v>
      </c>
      <c r="T10" s="74" t="e">
        <f>(Table142[[#This Row],[Commercial Bid Price per case for NOI ($)]]+Table142[[#This Row],[Region 1: Fixed Fee Per Case ($)]])/Table142[[#This Row],['# of CN Servings per case]]</f>
        <v>#DIV/0!</v>
      </c>
      <c r="U10" s="74" t="e">
        <f>Table142[[#This Row],[Total Cost Per Serving (O+P)/J]]*Table142[[#This Row],[Estimated Servings Annual]]</f>
        <v>#DIV/0!</v>
      </c>
      <c r="V10" s="73">
        <f>(Table142[[#This Row],[Commercial Bid Price per case for NOI ($)]]-Table142[[#This Row],[Pass-Thru Value per case ($)]])+Table142[[#This Row],[Region 2: Fixed Fee Per Case ($)]]</f>
        <v>0</v>
      </c>
      <c r="W10" s="74" t="e">
        <f>(Table142[[#This Row],[Commercial Bid Price per case for NOI ($)]]+Table142[[#This Row],[Region 2: Fixed Fee Per Case ($)]])/Table142[[#This Row],['# of CN Servings per case]]</f>
        <v>#DIV/0!</v>
      </c>
      <c r="X10" s="75" t="e">
        <f>Table142[[#This Row],[Total Cost Per Serving (O+Q)/J]]*Table142[[#This Row],[Estimated Servings Annual]]</f>
        <v>#DIV/0!</v>
      </c>
    </row>
    <row r="11" spans="1:24" x14ac:dyDescent="0.35">
      <c r="A11" s="30" t="s">
        <v>39</v>
      </c>
      <c r="B11" s="11" t="s">
        <v>88</v>
      </c>
      <c r="C11" s="6" t="s">
        <v>64</v>
      </c>
      <c r="D11" s="6"/>
      <c r="E11" s="6"/>
      <c r="F11" s="6"/>
      <c r="G11" s="6"/>
      <c r="H11" s="6"/>
      <c r="I11" s="6"/>
      <c r="J11" s="6"/>
      <c r="K11" s="48">
        <v>400000</v>
      </c>
      <c r="L11" s="6"/>
      <c r="M11" s="6"/>
      <c r="N11" s="6"/>
      <c r="O11" s="6"/>
      <c r="P11" s="6"/>
      <c r="Q11" s="6"/>
      <c r="R11" s="6"/>
      <c r="S11" s="67">
        <f>(Table142[[#This Row],[Commercial Bid Price per case for NOI ($)]]-Table142[[#This Row],[Pass-Thru Value per case ($)]])+Table142[[#This Row],[Region 1: Fixed Fee Per Case ($)]]</f>
        <v>0</v>
      </c>
      <c r="T11" s="68" t="e">
        <f>(Table142[[#This Row],[Commercial Bid Price per case for NOI ($)]]+Table142[[#This Row],[Region 1: Fixed Fee Per Case ($)]])/Table142[[#This Row],['# of CN Servings per case]]</f>
        <v>#DIV/0!</v>
      </c>
      <c r="U11" s="68" t="e">
        <f>Table142[[#This Row],[Total Cost Per Serving (O+P)/J]]*Table142[[#This Row],[Estimated Servings Annual]]</f>
        <v>#DIV/0!</v>
      </c>
      <c r="V11" s="67">
        <f>(Table142[[#This Row],[Commercial Bid Price per case for NOI ($)]]-Table142[[#This Row],[Pass-Thru Value per case ($)]])+Table142[[#This Row],[Region 2: Fixed Fee Per Case ($)]]</f>
        <v>0</v>
      </c>
      <c r="W11" s="68" t="e">
        <f>(Table142[[#This Row],[Commercial Bid Price per case for NOI ($)]]+Table142[[#This Row],[Region 2: Fixed Fee Per Case ($)]])/Table142[[#This Row],['# of CN Servings per case]]</f>
        <v>#DIV/0!</v>
      </c>
      <c r="X11" s="69" t="e">
        <f>Table142[[#This Row],[Total Cost Per Serving (O+Q)/J]]*Table142[[#This Row],[Estimated Servings Annual]]</f>
        <v>#DIV/0!</v>
      </c>
    </row>
    <row r="12" spans="1:24" x14ac:dyDescent="0.35">
      <c r="A12" s="30" t="s">
        <v>39</v>
      </c>
      <c r="B12" s="12" t="s">
        <v>88</v>
      </c>
      <c r="C12" s="7" t="s">
        <v>64</v>
      </c>
      <c r="D12" s="7"/>
      <c r="E12" s="7"/>
      <c r="F12" s="7"/>
      <c r="G12" s="7"/>
      <c r="H12" s="7"/>
      <c r="I12" s="7"/>
      <c r="J12" s="7"/>
      <c r="K12" s="49">
        <v>400000</v>
      </c>
      <c r="L12" s="7"/>
      <c r="M12" s="7"/>
      <c r="N12" s="7"/>
      <c r="O12" s="7"/>
      <c r="P12" s="7"/>
      <c r="Q12" s="7"/>
      <c r="R12" s="7"/>
      <c r="S12" s="70">
        <f>(Table142[[#This Row],[Commercial Bid Price per case for NOI ($)]]-Table142[[#This Row],[Pass-Thru Value per case ($)]])+Table142[[#This Row],[Region 1: Fixed Fee Per Case ($)]]</f>
        <v>0</v>
      </c>
      <c r="T12" s="71" t="e">
        <f>(Table142[[#This Row],[Commercial Bid Price per case for NOI ($)]]+Table142[[#This Row],[Region 1: Fixed Fee Per Case ($)]])/Table142[[#This Row],['# of CN Servings per case]]</f>
        <v>#DIV/0!</v>
      </c>
      <c r="U12" s="71" t="e">
        <f>Table142[[#This Row],[Total Cost Per Serving (O+P)/J]]*Table142[[#This Row],[Estimated Servings Annual]]</f>
        <v>#DIV/0!</v>
      </c>
      <c r="V12" s="70">
        <f>(Table142[[#This Row],[Commercial Bid Price per case for NOI ($)]]-Table142[[#This Row],[Pass-Thru Value per case ($)]])+Table142[[#This Row],[Region 2: Fixed Fee Per Case ($)]]</f>
        <v>0</v>
      </c>
      <c r="W12" s="71" t="e">
        <f>(Table142[[#This Row],[Commercial Bid Price per case for NOI ($)]]+Table142[[#This Row],[Region 2: Fixed Fee Per Case ($)]])/Table142[[#This Row],['# of CN Servings per case]]</f>
        <v>#DIV/0!</v>
      </c>
      <c r="X12" s="72" t="e">
        <f>Table142[[#This Row],[Total Cost Per Serving (O+Q)/J]]*Table142[[#This Row],[Estimated Servings Annual]]</f>
        <v>#DIV/0!</v>
      </c>
    </row>
    <row r="13" spans="1:24" x14ac:dyDescent="0.35">
      <c r="A13" s="30" t="s">
        <v>39</v>
      </c>
      <c r="B13" s="12" t="s">
        <v>88</v>
      </c>
      <c r="C13" s="7" t="s">
        <v>50</v>
      </c>
      <c r="D13" s="7"/>
      <c r="E13" s="7"/>
      <c r="F13" s="7"/>
      <c r="G13" s="7"/>
      <c r="H13" s="7"/>
      <c r="I13" s="7"/>
      <c r="J13" s="7"/>
      <c r="K13" s="49">
        <v>400000</v>
      </c>
      <c r="L13" s="7"/>
      <c r="M13" s="7"/>
      <c r="N13" s="7"/>
      <c r="O13" s="7"/>
      <c r="P13" s="7"/>
      <c r="Q13" s="7"/>
      <c r="R13" s="7"/>
      <c r="S13" s="70">
        <f>(Table142[[#This Row],[Commercial Bid Price per case for NOI ($)]]-Table142[[#This Row],[Pass-Thru Value per case ($)]])+Table142[[#This Row],[Region 1: Fixed Fee Per Case ($)]]</f>
        <v>0</v>
      </c>
      <c r="T13" s="71" t="e">
        <f>(Table142[[#This Row],[Commercial Bid Price per case for NOI ($)]]+Table142[[#This Row],[Region 1: Fixed Fee Per Case ($)]])/Table142[[#This Row],['# of CN Servings per case]]</f>
        <v>#DIV/0!</v>
      </c>
      <c r="U13" s="71" t="e">
        <f>Table142[[#This Row],[Total Cost Per Serving (O+P)/J]]*Table142[[#This Row],[Estimated Servings Annual]]</f>
        <v>#DIV/0!</v>
      </c>
      <c r="V13" s="70">
        <f>(Table142[[#This Row],[Commercial Bid Price per case for NOI ($)]]-Table142[[#This Row],[Pass-Thru Value per case ($)]])+Table142[[#This Row],[Region 2: Fixed Fee Per Case ($)]]</f>
        <v>0</v>
      </c>
      <c r="W13" s="71" t="e">
        <f>(Table142[[#This Row],[Commercial Bid Price per case for NOI ($)]]+Table142[[#This Row],[Region 2: Fixed Fee Per Case ($)]])/Table142[[#This Row],['# of CN Servings per case]]</f>
        <v>#DIV/0!</v>
      </c>
      <c r="X13" s="72" t="e">
        <f>Table142[[#This Row],[Total Cost Per Serving (O+Q)/J]]*Table142[[#This Row],[Estimated Servings Annual]]</f>
        <v>#DIV/0!</v>
      </c>
    </row>
    <row r="14" spans="1:24" x14ac:dyDescent="0.35">
      <c r="A14" s="30" t="s">
        <v>39</v>
      </c>
      <c r="B14" s="12" t="s">
        <v>88</v>
      </c>
      <c r="C14" s="7" t="s">
        <v>50</v>
      </c>
      <c r="D14" s="7"/>
      <c r="E14" s="7"/>
      <c r="F14" s="7"/>
      <c r="G14" s="7"/>
      <c r="H14" s="7"/>
      <c r="I14" s="7"/>
      <c r="J14" s="7"/>
      <c r="K14" s="49">
        <v>400000</v>
      </c>
      <c r="L14" s="7"/>
      <c r="M14" s="7"/>
      <c r="N14" s="7"/>
      <c r="O14" s="7"/>
      <c r="P14" s="7"/>
      <c r="Q14" s="7"/>
      <c r="R14" s="7"/>
      <c r="S14" s="70">
        <f>(Table142[[#This Row],[Commercial Bid Price per case for NOI ($)]]-Table142[[#This Row],[Pass-Thru Value per case ($)]])+Table142[[#This Row],[Region 1: Fixed Fee Per Case ($)]]</f>
        <v>0</v>
      </c>
      <c r="T14" s="71" t="e">
        <f>(Table142[[#This Row],[Commercial Bid Price per case for NOI ($)]]+Table142[[#This Row],[Region 1: Fixed Fee Per Case ($)]])/Table142[[#This Row],['# of CN Servings per case]]</f>
        <v>#DIV/0!</v>
      </c>
      <c r="U14" s="71" t="e">
        <f>Table142[[#This Row],[Total Cost Per Serving (O+P)/J]]*Table142[[#This Row],[Estimated Servings Annual]]</f>
        <v>#DIV/0!</v>
      </c>
      <c r="V14" s="70">
        <f>(Table142[[#This Row],[Commercial Bid Price per case for NOI ($)]]-Table142[[#This Row],[Pass-Thru Value per case ($)]])+Table142[[#This Row],[Region 2: Fixed Fee Per Case ($)]]</f>
        <v>0</v>
      </c>
      <c r="W14" s="71" t="e">
        <f>(Table142[[#This Row],[Commercial Bid Price per case for NOI ($)]]+Table142[[#This Row],[Region 2: Fixed Fee Per Case ($)]])/Table142[[#This Row],['# of CN Servings per case]]</f>
        <v>#DIV/0!</v>
      </c>
      <c r="X14" s="72" t="e">
        <f>Table142[[#This Row],[Total Cost Per Serving (O+Q)/J]]*Table142[[#This Row],[Estimated Servings Annual]]</f>
        <v>#DIV/0!</v>
      </c>
    </row>
    <row r="15" spans="1:24" x14ac:dyDescent="0.35">
      <c r="A15" s="30" t="s">
        <v>39</v>
      </c>
      <c r="B15" s="12" t="s">
        <v>88</v>
      </c>
      <c r="C15" s="7" t="s">
        <v>13</v>
      </c>
      <c r="D15" s="7"/>
      <c r="E15" s="7"/>
      <c r="F15" s="7"/>
      <c r="G15" s="7"/>
      <c r="H15" s="7"/>
      <c r="I15" s="7"/>
      <c r="J15" s="7"/>
      <c r="K15" s="49">
        <v>400000</v>
      </c>
      <c r="L15" s="7"/>
      <c r="M15" s="7"/>
      <c r="N15" s="7"/>
      <c r="O15" s="7"/>
      <c r="P15" s="7"/>
      <c r="Q15" s="7"/>
      <c r="R15" s="7"/>
      <c r="S15" s="70">
        <f>(Table142[[#This Row],[Commercial Bid Price per case for NOI ($)]]-Table142[[#This Row],[Pass-Thru Value per case ($)]])+Table142[[#This Row],[Region 1: Fixed Fee Per Case ($)]]</f>
        <v>0</v>
      </c>
      <c r="T15" s="71" t="e">
        <f>(Table142[[#This Row],[Commercial Bid Price per case for NOI ($)]]+Table142[[#This Row],[Region 1: Fixed Fee Per Case ($)]])/Table142[[#This Row],['# of CN Servings per case]]</f>
        <v>#DIV/0!</v>
      </c>
      <c r="U15" s="71" t="e">
        <f>Table142[[#This Row],[Total Cost Per Serving (O+P)/J]]*Table142[[#This Row],[Estimated Servings Annual]]</f>
        <v>#DIV/0!</v>
      </c>
      <c r="V15" s="70">
        <f>(Table142[[#This Row],[Commercial Bid Price per case for NOI ($)]]-Table142[[#This Row],[Pass-Thru Value per case ($)]])+Table142[[#This Row],[Region 2: Fixed Fee Per Case ($)]]</f>
        <v>0</v>
      </c>
      <c r="W15" s="71" t="e">
        <f>(Table142[[#This Row],[Commercial Bid Price per case for NOI ($)]]+Table142[[#This Row],[Region 2: Fixed Fee Per Case ($)]])/Table142[[#This Row],['# of CN Servings per case]]</f>
        <v>#DIV/0!</v>
      </c>
      <c r="X15" s="72" t="e">
        <f>Table142[[#This Row],[Total Cost Per Serving (O+Q)/J]]*Table142[[#This Row],[Estimated Servings Annual]]</f>
        <v>#DIV/0!</v>
      </c>
    </row>
    <row r="16" spans="1:24" x14ac:dyDescent="0.35">
      <c r="A16" s="30" t="s">
        <v>39</v>
      </c>
      <c r="B16" s="12" t="s">
        <v>88</v>
      </c>
      <c r="C16" s="7" t="s">
        <v>13</v>
      </c>
      <c r="D16" s="7"/>
      <c r="E16" s="7"/>
      <c r="F16" s="7"/>
      <c r="G16" s="7"/>
      <c r="H16" s="7"/>
      <c r="I16" s="7"/>
      <c r="J16" s="7"/>
      <c r="K16" s="49">
        <v>400000</v>
      </c>
      <c r="L16" s="7"/>
      <c r="M16" s="7"/>
      <c r="N16" s="7"/>
      <c r="O16" s="7"/>
      <c r="P16" s="7"/>
      <c r="Q16" s="7"/>
      <c r="R16" s="7"/>
      <c r="S16" s="70">
        <f>(Table142[[#This Row],[Commercial Bid Price per case for NOI ($)]]-Table142[[#This Row],[Pass-Thru Value per case ($)]])+Table142[[#This Row],[Region 1: Fixed Fee Per Case ($)]]</f>
        <v>0</v>
      </c>
      <c r="T16" s="71" t="e">
        <f>(Table142[[#This Row],[Commercial Bid Price per case for NOI ($)]]+Table142[[#This Row],[Region 1: Fixed Fee Per Case ($)]])/Table142[[#This Row],['# of CN Servings per case]]</f>
        <v>#DIV/0!</v>
      </c>
      <c r="U16" s="71" t="e">
        <f>Table142[[#This Row],[Total Cost Per Serving (O+P)/J]]*Table142[[#This Row],[Estimated Servings Annual]]</f>
        <v>#DIV/0!</v>
      </c>
      <c r="V16" s="70">
        <f>(Table142[[#This Row],[Commercial Bid Price per case for NOI ($)]]-Table142[[#This Row],[Pass-Thru Value per case ($)]])+Table142[[#This Row],[Region 2: Fixed Fee Per Case ($)]]</f>
        <v>0</v>
      </c>
      <c r="W16" s="71" t="e">
        <f>(Table142[[#This Row],[Commercial Bid Price per case for NOI ($)]]+Table142[[#This Row],[Region 2: Fixed Fee Per Case ($)]])/Table142[[#This Row],['# of CN Servings per case]]</f>
        <v>#DIV/0!</v>
      </c>
      <c r="X16" s="72" t="e">
        <f>Table142[[#This Row],[Total Cost Per Serving (O+Q)/J]]*Table142[[#This Row],[Estimated Servings Annual]]</f>
        <v>#DIV/0!</v>
      </c>
    </row>
    <row r="17" spans="1:24" x14ac:dyDescent="0.35">
      <c r="A17" s="30" t="s">
        <v>39</v>
      </c>
      <c r="B17" s="12" t="s">
        <v>88</v>
      </c>
      <c r="C17" s="7" t="s">
        <v>13</v>
      </c>
      <c r="D17" s="7"/>
      <c r="E17" s="7"/>
      <c r="F17" s="7"/>
      <c r="G17" s="7"/>
      <c r="H17" s="7"/>
      <c r="I17" s="7"/>
      <c r="J17" s="7"/>
      <c r="K17" s="49">
        <v>400000</v>
      </c>
      <c r="L17" s="7"/>
      <c r="M17" s="7"/>
      <c r="N17" s="7"/>
      <c r="O17" s="7"/>
      <c r="P17" s="7"/>
      <c r="Q17" s="7"/>
      <c r="R17" s="7"/>
      <c r="S17" s="70">
        <f>(Table142[[#This Row],[Commercial Bid Price per case for NOI ($)]]-Table142[[#This Row],[Pass-Thru Value per case ($)]])+Table142[[#This Row],[Region 1: Fixed Fee Per Case ($)]]</f>
        <v>0</v>
      </c>
      <c r="T17" s="71" t="e">
        <f>(Table142[[#This Row],[Commercial Bid Price per case for NOI ($)]]+Table142[[#This Row],[Region 1: Fixed Fee Per Case ($)]])/Table142[[#This Row],['# of CN Servings per case]]</f>
        <v>#DIV/0!</v>
      </c>
      <c r="U17" s="71" t="e">
        <f>Table142[[#This Row],[Total Cost Per Serving (O+P)/J]]*Table142[[#This Row],[Estimated Servings Annual]]</f>
        <v>#DIV/0!</v>
      </c>
      <c r="V17" s="70">
        <f>(Table142[[#This Row],[Commercial Bid Price per case for NOI ($)]]-Table142[[#This Row],[Pass-Thru Value per case ($)]])+Table142[[#This Row],[Region 2: Fixed Fee Per Case ($)]]</f>
        <v>0</v>
      </c>
      <c r="W17" s="71" t="e">
        <f>(Table142[[#This Row],[Commercial Bid Price per case for NOI ($)]]+Table142[[#This Row],[Region 2: Fixed Fee Per Case ($)]])/Table142[[#This Row],['# of CN Servings per case]]</f>
        <v>#DIV/0!</v>
      </c>
      <c r="X17" s="72" t="e">
        <f>Table142[[#This Row],[Total Cost Per Serving (O+Q)/J]]*Table142[[#This Row],[Estimated Servings Annual]]</f>
        <v>#DIV/0!</v>
      </c>
    </row>
    <row r="18" spans="1:24" ht="15" thickBot="1" x14ac:dyDescent="0.4">
      <c r="A18" s="30" t="s">
        <v>39</v>
      </c>
      <c r="B18" s="13" t="s">
        <v>88</v>
      </c>
      <c r="C18" s="8" t="s">
        <v>13</v>
      </c>
      <c r="D18" s="8"/>
      <c r="E18" s="8"/>
      <c r="F18" s="8"/>
      <c r="G18" s="8"/>
      <c r="H18" s="8"/>
      <c r="I18" s="8"/>
      <c r="J18" s="8"/>
      <c r="K18" s="50">
        <v>400000</v>
      </c>
      <c r="L18" s="8"/>
      <c r="M18" s="8"/>
      <c r="N18" s="8"/>
      <c r="O18" s="8"/>
      <c r="P18" s="8"/>
      <c r="Q18" s="8"/>
      <c r="R18" s="8"/>
      <c r="S18" s="73">
        <f>(Table142[[#This Row],[Commercial Bid Price per case for NOI ($)]]-Table142[[#This Row],[Pass-Thru Value per case ($)]])+Table142[[#This Row],[Region 1: Fixed Fee Per Case ($)]]</f>
        <v>0</v>
      </c>
      <c r="T18" s="74" t="e">
        <f>(Table142[[#This Row],[Commercial Bid Price per case for NOI ($)]]+Table142[[#This Row],[Region 1: Fixed Fee Per Case ($)]])/Table142[[#This Row],['# of CN Servings per case]]</f>
        <v>#DIV/0!</v>
      </c>
      <c r="U18" s="74" t="e">
        <f>Table142[[#This Row],[Total Cost Per Serving (O+P)/J]]*Table142[[#This Row],[Estimated Servings Annual]]</f>
        <v>#DIV/0!</v>
      </c>
      <c r="V18" s="73">
        <f>(Table142[[#This Row],[Commercial Bid Price per case for NOI ($)]]-Table142[[#This Row],[Pass-Thru Value per case ($)]])+Table142[[#This Row],[Region 2: Fixed Fee Per Case ($)]]</f>
        <v>0</v>
      </c>
      <c r="W18" s="74" t="e">
        <f>(Table142[[#This Row],[Commercial Bid Price per case for NOI ($)]]+Table142[[#This Row],[Region 2: Fixed Fee Per Case ($)]])/Table142[[#This Row],['# of CN Servings per case]]</f>
        <v>#DIV/0!</v>
      </c>
      <c r="X18" s="75" t="e">
        <f>Table142[[#This Row],[Total Cost Per Serving (O+Q)/J]]*Table142[[#This Row],[Estimated Servings Annual]]</f>
        <v>#DIV/0!</v>
      </c>
    </row>
    <row r="19" spans="1:24" x14ac:dyDescent="0.35">
      <c r="A19" s="30" t="s">
        <v>39</v>
      </c>
      <c r="B19" s="11" t="s">
        <v>89</v>
      </c>
      <c r="C19" s="6" t="s">
        <v>64</v>
      </c>
      <c r="D19" s="6"/>
      <c r="E19" s="6"/>
      <c r="F19" s="6"/>
      <c r="G19" s="6"/>
      <c r="H19" s="6"/>
      <c r="I19" s="6"/>
      <c r="J19" s="6"/>
      <c r="K19" s="48">
        <v>350000</v>
      </c>
      <c r="L19" s="6"/>
      <c r="M19" s="6"/>
      <c r="N19" s="6"/>
      <c r="O19" s="6"/>
      <c r="P19" s="6"/>
      <c r="Q19" s="6"/>
      <c r="R19" s="6"/>
      <c r="S19" s="67">
        <f>(Table142[[#This Row],[Commercial Bid Price per case for NOI ($)]]-Table142[[#This Row],[Pass-Thru Value per case ($)]])+Table142[[#This Row],[Region 1: Fixed Fee Per Case ($)]]</f>
        <v>0</v>
      </c>
      <c r="T19" s="68" t="e">
        <f>(Table142[[#This Row],[Commercial Bid Price per case for NOI ($)]]+Table142[[#This Row],[Region 1: Fixed Fee Per Case ($)]])/Table142[[#This Row],['# of CN Servings per case]]</f>
        <v>#DIV/0!</v>
      </c>
      <c r="U19" s="68" t="e">
        <f>Table142[[#This Row],[Total Cost Per Serving (O+P)/J]]*Table142[[#This Row],[Estimated Servings Annual]]</f>
        <v>#DIV/0!</v>
      </c>
      <c r="V19" s="67">
        <f>(Table142[[#This Row],[Commercial Bid Price per case for NOI ($)]]-Table142[[#This Row],[Pass-Thru Value per case ($)]])+Table142[[#This Row],[Region 2: Fixed Fee Per Case ($)]]</f>
        <v>0</v>
      </c>
      <c r="W19" s="68" t="e">
        <f>(Table142[[#This Row],[Commercial Bid Price per case for NOI ($)]]+Table142[[#This Row],[Region 2: Fixed Fee Per Case ($)]])/Table142[[#This Row],['# of CN Servings per case]]</f>
        <v>#DIV/0!</v>
      </c>
      <c r="X19" s="69" t="e">
        <f>Table142[[#This Row],[Total Cost Per Serving (O+Q)/J]]*Table142[[#This Row],[Estimated Servings Annual]]</f>
        <v>#DIV/0!</v>
      </c>
    </row>
    <row r="20" spans="1:24" x14ac:dyDescent="0.35">
      <c r="A20" s="30" t="s">
        <v>39</v>
      </c>
      <c r="B20" s="12" t="s">
        <v>89</v>
      </c>
      <c r="C20" s="7" t="s">
        <v>64</v>
      </c>
      <c r="D20" s="7"/>
      <c r="E20" s="7"/>
      <c r="F20" s="7"/>
      <c r="G20" s="7"/>
      <c r="H20" s="7"/>
      <c r="I20" s="7"/>
      <c r="J20" s="7"/>
      <c r="K20" s="49">
        <v>350000</v>
      </c>
      <c r="L20" s="7"/>
      <c r="M20" s="7"/>
      <c r="N20" s="7"/>
      <c r="O20" s="7"/>
      <c r="P20" s="7"/>
      <c r="Q20" s="7"/>
      <c r="R20" s="7"/>
      <c r="S20" s="70">
        <f>(Table142[[#This Row],[Commercial Bid Price per case for NOI ($)]]-Table142[[#This Row],[Pass-Thru Value per case ($)]])+Table142[[#This Row],[Region 1: Fixed Fee Per Case ($)]]</f>
        <v>0</v>
      </c>
      <c r="T20" s="71" t="e">
        <f>(Table142[[#This Row],[Commercial Bid Price per case for NOI ($)]]+Table142[[#This Row],[Region 1: Fixed Fee Per Case ($)]])/Table142[[#This Row],['# of CN Servings per case]]</f>
        <v>#DIV/0!</v>
      </c>
      <c r="U20" s="71" t="e">
        <f>Table142[[#This Row],[Total Cost Per Serving (O+P)/J]]*Table142[[#This Row],[Estimated Servings Annual]]</f>
        <v>#DIV/0!</v>
      </c>
      <c r="V20" s="70">
        <f>(Table142[[#This Row],[Commercial Bid Price per case for NOI ($)]]-Table142[[#This Row],[Pass-Thru Value per case ($)]])+Table142[[#This Row],[Region 2: Fixed Fee Per Case ($)]]</f>
        <v>0</v>
      </c>
      <c r="W20" s="71" t="e">
        <f>(Table142[[#This Row],[Commercial Bid Price per case for NOI ($)]]+Table142[[#This Row],[Region 2: Fixed Fee Per Case ($)]])/Table142[[#This Row],['# of CN Servings per case]]</f>
        <v>#DIV/0!</v>
      </c>
      <c r="X20" s="72" t="e">
        <f>Table142[[#This Row],[Total Cost Per Serving (O+Q)/J]]*Table142[[#This Row],[Estimated Servings Annual]]</f>
        <v>#DIV/0!</v>
      </c>
    </row>
    <row r="21" spans="1:24" x14ac:dyDescent="0.35">
      <c r="A21" s="30" t="s">
        <v>39</v>
      </c>
      <c r="B21" s="12" t="s">
        <v>89</v>
      </c>
      <c r="C21" s="7" t="s">
        <v>50</v>
      </c>
      <c r="D21" s="7"/>
      <c r="E21" s="7"/>
      <c r="F21" s="7"/>
      <c r="G21" s="7"/>
      <c r="H21" s="7"/>
      <c r="I21" s="7"/>
      <c r="J21" s="7"/>
      <c r="K21" s="49">
        <v>350000</v>
      </c>
      <c r="L21" s="7"/>
      <c r="M21" s="7"/>
      <c r="N21" s="7"/>
      <c r="O21" s="7"/>
      <c r="P21" s="7"/>
      <c r="Q21" s="7"/>
      <c r="R21" s="7"/>
      <c r="S21" s="70">
        <f>(Table142[[#This Row],[Commercial Bid Price per case for NOI ($)]]-Table142[[#This Row],[Pass-Thru Value per case ($)]])+Table142[[#This Row],[Region 1: Fixed Fee Per Case ($)]]</f>
        <v>0</v>
      </c>
      <c r="T21" s="71" t="e">
        <f>(Table142[[#This Row],[Commercial Bid Price per case for NOI ($)]]+Table142[[#This Row],[Region 1: Fixed Fee Per Case ($)]])/Table142[[#This Row],['# of CN Servings per case]]</f>
        <v>#DIV/0!</v>
      </c>
      <c r="U21" s="71" t="e">
        <f>Table142[[#This Row],[Total Cost Per Serving (O+P)/J]]*Table142[[#This Row],[Estimated Servings Annual]]</f>
        <v>#DIV/0!</v>
      </c>
      <c r="V21" s="70">
        <f>(Table142[[#This Row],[Commercial Bid Price per case for NOI ($)]]-Table142[[#This Row],[Pass-Thru Value per case ($)]])+Table142[[#This Row],[Region 2: Fixed Fee Per Case ($)]]</f>
        <v>0</v>
      </c>
      <c r="W21" s="71" t="e">
        <f>(Table142[[#This Row],[Commercial Bid Price per case for NOI ($)]]+Table142[[#This Row],[Region 2: Fixed Fee Per Case ($)]])/Table142[[#This Row],['# of CN Servings per case]]</f>
        <v>#DIV/0!</v>
      </c>
      <c r="X21" s="72" t="e">
        <f>Table142[[#This Row],[Total Cost Per Serving (O+Q)/J]]*Table142[[#This Row],[Estimated Servings Annual]]</f>
        <v>#DIV/0!</v>
      </c>
    </row>
    <row r="22" spans="1:24" x14ac:dyDescent="0.35">
      <c r="A22" s="30" t="s">
        <v>39</v>
      </c>
      <c r="B22" s="12" t="s">
        <v>89</v>
      </c>
      <c r="C22" s="7" t="s">
        <v>50</v>
      </c>
      <c r="D22" s="7"/>
      <c r="E22" s="7"/>
      <c r="F22" s="7"/>
      <c r="G22" s="7"/>
      <c r="H22" s="7"/>
      <c r="I22" s="7"/>
      <c r="J22" s="7"/>
      <c r="K22" s="49">
        <v>350000</v>
      </c>
      <c r="L22" s="7"/>
      <c r="M22" s="7"/>
      <c r="N22" s="7"/>
      <c r="O22" s="7"/>
      <c r="P22" s="7"/>
      <c r="Q22" s="7"/>
      <c r="R22" s="7"/>
      <c r="S22" s="70">
        <f>(Table142[[#This Row],[Commercial Bid Price per case for NOI ($)]]-Table142[[#This Row],[Pass-Thru Value per case ($)]])+Table142[[#This Row],[Region 1: Fixed Fee Per Case ($)]]</f>
        <v>0</v>
      </c>
      <c r="T22" s="71" t="e">
        <f>(Table142[[#This Row],[Commercial Bid Price per case for NOI ($)]]+Table142[[#This Row],[Region 1: Fixed Fee Per Case ($)]])/Table142[[#This Row],['# of CN Servings per case]]</f>
        <v>#DIV/0!</v>
      </c>
      <c r="U22" s="71" t="e">
        <f>Table142[[#This Row],[Total Cost Per Serving (O+P)/J]]*Table142[[#This Row],[Estimated Servings Annual]]</f>
        <v>#DIV/0!</v>
      </c>
      <c r="V22" s="70">
        <f>(Table142[[#This Row],[Commercial Bid Price per case for NOI ($)]]-Table142[[#This Row],[Pass-Thru Value per case ($)]])+Table142[[#This Row],[Region 2: Fixed Fee Per Case ($)]]</f>
        <v>0</v>
      </c>
      <c r="W22" s="71" t="e">
        <f>(Table142[[#This Row],[Commercial Bid Price per case for NOI ($)]]+Table142[[#This Row],[Region 2: Fixed Fee Per Case ($)]])/Table142[[#This Row],['# of CN Servings per case]]</f>
        <v>#DIV/0!</v>
      </c>
      <c r="X22" s="72" t="e">
        <f>Table142[[#This Row],[Total Cost Per Serving (O+Q)/J]]*Table142[[#This Row],[Estimated Servings Annual]]</f>
        <v>#DIV/0!</v>
      </c>
    </row>
    <row r="23" spans="1:24" x14ac:dyDescent="0.35">
      <c r="A23" s="30" t="s">
        <v>39</v>
      </c>
      <c r="B23" s="12" t="s">
        <v>89</v>
      </c>
      <c r="C23" s="7" t="s">
        <v>13</v>
      </c>
      <c r="D23" s="7"/>
      <c r="E23" s="7"/>
      <c r="F23" s="7"/>
      <c r="G23" s="7"/>
      <c r="H23" s="7"/>
      <c r="I23" s="7"/>
      <c r="J23" s="7"/>
      <c r="K23" s="49">
        <v>350000</v>
      </c>
      <c r="L23" s="7"/>
      <c r="M23" s="7"/>
      <c r="N23" s="7"/>
      <c r="O23" s="7"/>
      <c r="P23" s="7"/>
      <c r="Q23" s="7"/>
      <c r="R23" s="7"/>
      <c r="S23" s="70">
        <f>(Table142[[#This Row],[Commercial Bid Price per case for NOI ($)]]-Table142[[#This Row],[Pass-Thru Value per case ($)]])+Table142[[#This Row],[Region 1: Fixed Fee Per Case ($)]]</f>
        <v>0</v>
      </c>
      <c r="T23" s="71" t="e">
        <f>(Table142[[#This Row],[Commercial Bid Price per case for NOI ($)]]+Table142[[#This Row],[Region 1: Fixed Fee Per Case ($)]])/Table142[[#This Row],['# of CN Servings per case]]</f>
        <v>#DIV/0!</v>
      </c>
      <c r="U23" s="71" t="e">
        <f>Table142[[#This Row],[Total Cost Per Serving (O+P)/J]]*Table142[[#This Row],[Estimated Servings Annual]]</f>
        <v>#DIV/0!</v>
      </c>
      <c r="V23" s="70">
        <f>(Table142[[#This Row],[Commercial Bid Price per case for NOI ($)]]-Table142[[#This Row],[Pass-Thru Value per case ($)]])+Table142[[#This Row],[Region 2: Fixed Fee Per Case ($)]]</f>
        <v>0</v>
      </c>
      <c r="W23" s="71" t="e">
        <f>(Table142[[#This Row],[Commercial Bid Price per case for NOI ($)]]+Table142[[#This Row],[Region 2: Fixed Fee Per Case ($)]])/Table142[[#This Row],['# of CN Servings per case]]</f>
        <v>#DIV/0!</v>
      </c>
      <c r="X23" s="72" t="e">
        <f>Table142[[#This Row],[Total Cost Per Serving (O+Q)/J]]*Table142[[#This Row],[Estimated Servings Annual]]</f>
        <v>#DIV/0!</v>
      </c>
    </row>
    <row r="24" spans="1:24" x14ac:dyDescent="0.35">
      <c r="A24" s="30" t="s">
        <v>39</v>
      </c>
      <c r="B24" s="12" t="s">
        <v>89</v>
      </c>
      <c r="C24" s="7" t="s">
        <v>13</v>
      </c>
      <c r="D24" s="7"/>
      <c r="E24" s="7"/>
      <c r="F24" s="7"/>
      <c r="G24" s="7"/>
      <c r="H24" s="7"/>
      <c r="I24" s="7"/>
      <c r="J24" s="7"/>
      <c r="K24" s="49">
        <v>350000</v>
      </c>
      <c r="L24" s="7"/>
      <c r="M24" s="7"/>
      <c r="N24" s="7"/>
      <c r="O24" s="7"/>
      <c r="P24" s="7"/>
      <c r="Q24" s="7"/>
      <c r="R24" s="7"/>
      <c r="S24" s="70">
        <f>(Table142[[#This Row],[Commercial Bid Price per case for NOI ($)]]-Table142[[#This Row],[Pass-Thru Value per case ($)]])+Table142[[#This Row],[Region 1: Fixed Fee Per Case ($)]]</f>
        <v>0</v>
      </c>
      <c r="T24" s="71" t="e">
        <f>(Table142[[#This Row],[Commercial Bid Price per case for NOI ($)]]+Table142[[#This Row],[Region 1: Fixed Fee Per Case ($)]])/Table142[[#This Row],['# of CN Servings per case]]</f>
        <v>#DIV/0!</v>
      </c>
      <c r="U24" s="71" t="e">
        <f>Table142[[#This Row],[Total Cost Per Serving (O+P)/J]]*Table142[[#This Row],[Estimated Servings Annual]]</f>
        <v>#DIV/0!</v>
      </c>
      <c r="V24" s="70">
        <f>(Table142[[#This Row],[Commercial Bid Price per case for NOI ($)]]-Table142[[#This Row],[Pass-Thru Value per case ($)]])+Table142[[#This Row],[Region 2: Fixed Fee Per Case ($)]]</f>
        <v>0</v>
      </c>
      <c r="W24" s="71" t="e">
        <f>(Table142[[#This Row],[Commercial Bid Price per case for NOI ($)]]+Table142[[#This Row],[Region 2: Fixed Fee Per Case ($)]])/Table142[[#This Row],['# of CN Servings per case]]</f>
        <v>#DIV/0!</v>
      </c>
      <c r="X24" s="72" t="e">
        <f>Table142[[#This Row],[Total Cost Per Serving (O+Q)/J]]*Table142[[#This Row],[Estimated Servings Annual]]</f>
        <v>#DIV/0!</v>
      </c>
    </row>
    <row r="25" spans="1:24" x14ac:dyDescent="0.35">
      <c r="A25" s="30" t="s">
        <v>39</v>
      </c>
      <c r="B25" s="12" t="s">
        <v>89</v>
      </c>
      <c r="C25" s="7" t="s">
        <v>13</v>
      </c>
      <c r="D25" s="7"/>
      <c r="E25" s="7"/>
      <c r="F25" s="7"/>
      <c r="G25" s="7"/>
      <c r="H25" s="7"/>
      <c r="I25" s="7"/>
      <c r="J25" s="7"/>
      <c r="K25" s="49">
        <v>350000</v>
      </c>
      <c r="L25" s="7"/>
      <c r="M25" s="7"/>
      <c r="N25" s="7"/>
      <c r="O25" s="7"/>
      <c r="P25" s="7"/>
      <c r="Q25" s="7"/>
      <c r="R25" s="7"/>
      <c r="S25" s="70">
        <f>(Table142[[#This Row],[Commercial Bid Price per case for NOI ($)]]-Table142[[#This Row],[Pass-Thru Value per case ($)]])+Table142[[#This Row],[Region 1: Fixed Fee Per Case ($)]]</f>
        <v>0</v>
      </c>
      <c r="T25" s="71" t="e">
        <f>(Table142[[#This Row],[Commercial Bid Price per case for NOI ($)]]+Table142[[#This Row],[Region 1: Fixed Fee Per Case ($)]])/Table142[[#This Row],['# of CN Servings per case]]</f>
        <v>#DIV/0!</v>
      </c>
      <c r="U25" s="71" t="e">
        <f>Table142[[#This Row],[Total Cost Per Serving (O+P)/J]]*Table142[[#This Row],[Estimated Servings Annual]]</f>
        <v>#DIV/0!</v>
      </c>
      <c r="V25" s="70">
        <f>(Table142[[#This Row],[Commercial Bid Price per case for NOI ($)]]-Table142[[#This Row],[Pass-Thru Value per case ($)]])+Table142[[#This Row],[Region 2: Fixed Fee Per Case ($)]]</f>
        <v>0</v>
      </c>
      <c r="W25" s="71" t="e">
        <f>(Table142[[#This Row],[Commercial Bid Price per case for NOI ($)]]+Table142[[#This Row],[Region 2: Fixed Fee Per Case ($)]])/Table142[[#This Row],['# of CN Servings per case]]</f>
        <v>#DIV/0!</v>
      </c>
      <c r="X25" s="72" t="e">
        <f>Table142[[#This Row],[Total Cost Per Serving (O+Q)/J]]*Table142[[#This Row],[Estimated Servings Annual]]</f>
        <v>#DIV/0!</v>
      </c>
    </row>
    <row r="26" spans="1:24" ht="15" thickBot="1" x14ac:dyDescent="0.4">
      <c r="A26" s="30" t="s">
        <v>39</v>
      </c>
      <c r="B26" s="13" t="s">
        <v>89</v>
      </c>
      <c r="C26" s="8" t="s">
        <v>13</v>
      </c>
      <c r="D26" s="8"/>
      <c r="E26" s="8"/>
      <c r="F26" s="8"/>
      <c r="G26" s="8"/>
      <c r="H26" s="8"/>
      <c r="I26" s="8"/>
      <c r="J26" s="8"/>
      <c r="K26" s="50">
        <v>350000</v>
      </c>
      <c r="L26" s="8"/>
      <c r="M26" s="8"/>
      <c r="N26" s="8"/>
      <c r="O26" s="8"/>
      <c r="P26" s="8"/>
      <c r="Q26" s="8"/>
      <c r="R26" s="8"/>
      <c r="S26" s="73">
        <f>(Table142[[#This Row],[Commercial Bid Price per case for NOI ($)]]-Table142[[#This Row],[Pass-Thru Value per case ($)]])+Table142[[#This Row],[Region 1: Fixed Fee Per Case ($)]]</f>
        <v>0</v>
      </c>
      <c r="T26" s="74" t="e">
        <f>(Table142[[#This Row],[Commercial Bid Price per case for NOI ($)]]+Table142[[#This Row],[Region 1: Fixed Fee Per Case ($)]])/Table142[[#This Row],['# of CN Servings per case]]</f>
        <v>#DIV/0!</v>
      </c>
      <c r="U26" s="74" t="e">
        <f>Table142[[#This Row],[Total Cost Per Serving (O+P)/J]]*Table142[[#This Row],[Estimated Servings Annual]]</f>
        <v>#DIV/0!</v>
      </c>
      <c r="V26" s="73">
        <f>(Table142[[#This Row],[Commercial Bid Price per case for NOI ($)]]-Table142[[#This Row],[Pass-Thru Value per case ($)]])+Table142[[#This Row],[Region 2: Fixed Fee Per Case ($)]]</f>
        <v>0</v>
      </c>
      <c r="W26" s="74" t="e">
        <f>(Table142[[#This Row],[Commercial Bid Price per case for NOI ($)]]+Table142[[#This Row],[Region 2: Fixed Fee Per Case ($)]])/Table142[[#This Row],['# of CN Servings per case]]</f>
        <v>#DIV/0!</v>
      </c>
      <c r="X26" s="75" t="e">
        <f>Table142[[#This Row],[Total Cost Per Serving (O+Q)/J]]*Table142[[#This Row],[Estimated Servings Annual]]</f>
        <v>#DIV/0!</v>
      </c>
    </row>
  </sheetData>
  <sheetProtection algorithmName="SHA-512" hashValue="wTYL2LJGmEBnq7bqjDsA5WahRbAW7tpka0XPcK5q2oF1IWIC59E13oYpmY80tG8LLttvsWikGZEuvZ4Vj4M2rg==" saltValue="dZjbBCU7/KSH5cHU4XuGkA==" spinCount="100000" sheet="1" objects="1" scenarios="1" formatCells="0" formatColumns="0"/>
  <mergeCells count="3">
    <mergeCell ref="E1:G1"/>
    <mergeCell ref="S1:U1"/>
    <mergeCell ref="V1:X1"/>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914F6-27F3-44C7-9993-AC322F28F8EB}">
  <sheetPr codeName="Sheet4"/>
  <dimension ref="A1:X90"/>
  <sheetViews>
    <sheetView workbookViewId="0">
      <pane xSplit="3" ySplit="2" topLeftCell="D59" activePane="bottomRight" state="frozen"/>
      <selection activeCell="A24" sqref="A24"/>
      <selection pane="topRight" activeCell="A24" sqref="A24"/>
      <selection pane="bottomLeft" activeCell="A24" sqref="A24"/>
      <selection pane="bottomRight" activeCell="A24" sqref="A24"/>
    </sheetView>
  </sheetViews>
  <sheetFormatPr defaultColWidth="11" defaultRowHeight="14.5" x14ac:dyDescent="0.35"/>
  <cols>
    <col min="1" max="1" width="10.7265625" style="9" customWidth="1"/>
    <col min="2" max="2" width="17.453125" style="9" bestFit="1" customWidth="1"/>
    <col min="3" max="3" width="16.6328125" style="9" bestFit="1" customWidth="1"/>
    <col min="4" max="4" width="20.81640625" style="9" bestFit="1" customWidth="1"/>
    <col min="5" max="5" width="26.26953125" style="9" bestFit="1" customWidth="1"/>
    <col min="6" max="6" width="12.90625" style="9" bestFit="1" customWidth="1"/>
    <col min="7" max="7" width="15" style="9" bestFit="1" customWidth="1"/>
    <col min="8" max="8" width="14.54296875" style="9" bestFit="1" customWidth="1"/>
    <col min="9" max="9" width="9.54296875" style="9" bestFit="1" customWidth="1"/>
    <col min="10" max="10" width="13.6328125" style="63" bestFit="1" customWidth="1"/>
    <col min="11" max="11" width="12.6328125" style="9" bestFit="1" customWidth="1"/>
    <col min="12" max="12" width="10.453125" style="9" bestFit="1" customWidth="1"/>
    <col min="13" max="13" width="14.26953125" style="9" bestFit="1" customWidth="1"/>
    <col min="14" max="14" width="11.453125" style="9" bestFit="1" customWidth="1"/>
    <col min="15" max="15" width="17.81640625" style="9" bestFit="1" customWidth="1"/>
    <col min="16" max="17" width="14.81640625" style="9" bestFit="1" customWidth="1"/>
    <col min="18" max="18" width="14.54296875" style="9" bestFit="1" customWidth="1"/>
    <col min="19" max="19" width="14.1796875" style="9" bestFit="1" customWidth="1"/>
    <col min="20" max="20" width="15" style="9" bestFit="1" customWidth="1"/>
    <col min="21" max="21" width="11.54296875" style="9" bestFit="1" customWidth="1"/>
    <col min="22" max="22" width="14.1796875" style="9" bestFit="1" customWidth="1"/>
    <col min="23" max="23" width="15" style="9" bestFit="1" customWidth="1"/>
    <col min="24" max="24" width="11.54296875" style="9" bestFit="1" customWidth="1"/>
    <col min="25" max="16384" width="11" style="9"/>
  </cols>
  <sheetData>
    <row r="1" spans="1:24" x14ac:dyDescent="0.35">
      <c r="D1" s="10" t="s">
        <v>63</v>
      </c>
      <c r="E1" s="97">
        <f>Instructions!A2</f>
        <v>0</v>
      </c>
      <c r="F1" s="97"/>
      <c r="G1" s="97"/>
      <c r="S1" s="98" t="s">
        <v>72</v>
      </c>
      <c r="T1" s="99"/>
      <c r="U1" s="100"/>
      <c r="V1" s="101" t="s">
        <v>73</v>
      </c>
      <c r="W1" s="102"/>
      <c r="X1" s="102"/>
    </row>
    <row r="2" spans="1:24" s="10" customFormat="1" ht="58.5" thickBot="1" x14ac:dyDescent="0.4">
      <c r="A2" s="10" t="s">
        <v>14</v>
      </c>
      <c r="B2" s="10" t="s">
        <v>3</v>
      </c>
      <c r="C2" s="10" t="s">
        <v>23</v>
      </c>
      <c r="D2" s="10" t="s">
        <v>66</v>
      </c>
      <c r="E2" s="10" t="s">
        <v>182</v>
      </c>
      <c r="F2" s="10" t="s">
        <v>0</v>
      </c>
      <c r="G2" s="10" t="s">
        <v>4</v>
      </c>
      <c r="H2" s="10" t="s">
        <v>20</v>
      </c>
      <c r="I2" s="10" t="s">
        <v>1</v>
      </c>
      <c r="J2" s="10" t="s">
        <v>5</v>
      </c>
      <c r="K2" s="18" t="s">
        <v>6</v>
      </c>
      <c r="L2" s="10" t="s">
        <v>2</v>
      </c>
      <c r="M2" s="10" t="s">
        <v>21</v>
      </c>
      <c r="N2" s="10" t="s">
        <v>65</v>
      </c>
      <c r="O2" s="10" t="s">
        <v>22</v>
      </c>
      <c r="P2" s="10" t="s">
        <v>70</v>
      </c>
      <c r="Q2" s="10" t="s">
        <v>71</v>
      </c>
      <c r="R2" s="10" t="s">
        <v>19</v>
      </c>
      <c r="S2" s="64" t="s">
        <v>77</v>
      </c>
      <c r="T2" s="65" t="s">
        <v>79</v>
      </c>
      <c r="U2" s="66" t="s">
        <v>80</v>
      </c>
      <c r="V2" s="64" t="s">
        <v>78</v>
      </c>
      <c r="W2" s="65" t="s">
        <v>81</v>
      </c>
      <c r="X2" s="66" t="s">
        <v>82</v>
      </c>
    </row>
    <row r="3" spans="1:24" x14ac:dyDescent="0.35">
      <c r="A3" s="29" t="s">
        <v>30</v>
      </c>
      <c r="B3" s="42" t="s">
        <v>90</v>
      </c>
      <c r="C3" s="6" t="s">
        <v>61</v>
      </c>
      <c r="D3" s="6"/>
      <c r="E3" s="6"/>
      <c r="F3" s="6"/>
      <c r="G3" s="6"/>
      <c r="H3" s="6"/>
      <c r="I3" s="6"/>
      <c r="J3" s="6"/>
      <c r="K3" s="48">
        <v>100000</v>
      </c>
      <c r="L3" s="6"/>
      <c r="M3" s="6"/>
      <c r="N3" s="6"/>
      <c r="O3" s="6"/>
      <c r="P3" s="6"/>
      <c r="Q3" s="6"/>
      <c r="R3" s="6"/>
      <c r="S3" s="67">
        <f>(Table143[[#This Row],[Commercial Bid Price per case for NOI ($)]]-Table143[[#This Row],[Pass-Thru Value per case ($)]])+Table143[[#This Row],[Region 1: Fixed Fee Per Case ($)]]</f>
        <v>0</v>
      </c>
      <c r="T3" s="68" t="e">
        <f>(Table143[[#This Row],[Commercial Bid Price per case for NOI ($)]]+Table143[[#This Row],[Region 1: Fixed Fee Per Case ($)]])/Table143[[#This Row],['# of CN Servings per case]]</f>
        <v>#DIV/0!</v>
      </c>
      <c r="U3" s="68" t="e">
        <f>Table143[[#This Row],[Total Cost Per Serving (O+P)/J]]*Table143[[#This Row],[Estimated Servings Annual]]</f>
        <v>#DIV/0!</v>
      </c>
      <c r="V3" s="67">
        <f>(Table143[[#This Row],[Commercial Bid Price per case for NOI ($)]]-Table143[[#This Row],[Pass-Thru Value per case ($)]])+Table143[[#This Row],[Region 2: Fixed Fee Per Case ($)]]</f>
        <v>0</v>
      </c>
      <c r="W3" s="68" t="e">
        <f>(Table143[[#This Row],[Commercial Bid Price per case for NOI ($)]]+Table143[[#This Row],[Region 2: Fixed Fee Per Case ($)]])/Table143[[#This Row],['# of CN Servings per case]]</f>
        <v>#DIV/0!</v>
      </c>
      <c r="X3" s="69" t="e">
        <f>Table143[[#This Row],[Total Cost Per Serving (O+Q)/J]]*Table143[[#This Row],[Estimated Servings Annual]]</f>
        <v>#DIV/0!</v>
      </c>
    </row>
    <row r="4" spans="1:24" x14ac:dyDescent="0.35">
      <c r="A4" s="30" t="s">
        <v>30</v>
      </c>
      <c r="B4" s="28" t="s">
        <v>90</v>
      </c>
      <c r="C4" s="7" t="s">
        <v>61</v>
      </c>
      <c r="D4" s="7"/>
      <c r="E4" s="7"/>
      <c r="F4" s="7"/>
      <c r="G4" s="7"/>
      <c r="H4" s="7"/>
      <c r="I4" s="7"/>
      <c r="J4" s="7"/>
      <c r="K4" s="49">
        <v>100000</v>
      </c>
      <c r="L4" s="7"/>
      <c r="M4" s="7"/>
      <c r="N4" s="7"/>
      <c r="O4" s="7"/>
      <c r="P4" s="7"/>
      <c r="Q4" s="7"/>
      <c r="R4" s="7"/>
      <c r="S4" s="70">
        <f>(Table143[[#This Row],[Commercial Bid Price per case for NOI ($)]]-Table143[[#This Row],[Pass-Thru Value per case ($)]])+Table143[[#This Row],[Region 1: Fixed Fee Per Case ($)]]</f>
        <v>0</v>
      </c>
      <c r="T4" s="71" t="e">
        <f>(Table143[[#This Row],[Commercial Bid Price per case for NOI ($)]]+Table143[[#This Row],[Region 1: Fixed Fee Per Case ($)]])/Table143[[#This Row],['# of CN Servings per case]]</f>
        <v>#DIV/0!</v>
      </c>
      <c r="U4" s="71" t="e">
        <f>Table143[[#This Row],[Total Cost Per Serving (O+P)/J]]*Table143[[#This Row],[Estimated Servings Annual]]</f>
        <v>#DIV/0!</v>
      </c>
      <c r="V4" s="70">
        <f>(Table143[[#This Row],[Commercial Bid Price per case for NOI ($)]]-Table143[[#This Row],[Pass-Thru Value per case ($)]])+Table143[[#This Row],[Region 2: Fixed Fee Per Case ($)]]</f>
        <v>0</v>
      </c>
      <c r="W4" s="71" t="e">
        <f>(Table143[[#This Row],[Commercial Bid Price per case for NOI ($)]]+Table143[[#This Row],[Region 2: Fixed Fee Per Case ($)]])/Table143[[#This Row],['# of CN Servings per case]]</f>
        <v>#DIV/0!</v>
      </c>
      <c r="X4" s="72" t="e">
        <f>Table143[[#This Row],[Total Cost Per Serving (O+Q)/J]]*Table143[[#This Row],[Estimated Servings Annual]]</f>
        <v>#DIV/0!</v>
      </c>
    </row>
    <row r="5" spans="1:24" x14ac:dyDescent="0.35">
      <c r="A5" s="30" t="s">
        <v>30</v>
      </c>
      <c r="B5" s="28" t="s">
        <v>90</v>
      </c>
      <c r="C5" s="7" t="s">
        <v>50</v>
      </c>
      <c r="D5" s="7"/>
      <c r="E5" s="7"/>
      <c r="F5" s="7"/>
      <c r="G5" s="7"/>
      <c r="H5" s="7"/>
      <c r="I5" s="7"/>
      <c r="J5" s="7"/>
      <c r="K5" s="49">
        <v>100000</v>
      </c>
      <c r="L5" s="7"/>
      <c r="M5" s="7"/>
      <c r="N5" s="7"/>
      <c r="O5" s="7"/>
      <c r="P5" s="7"/>
      <c r="Q5" s="7"/>
      <c r="R5" s="7"/>
      <c r="S5" s="70">
        <f>(Table143[[#This Row],[Commercial Bid Price per case for NOI ($)]]-Table143[[#This Row],[Pass-Thru Value per case ($)]])+Table143[[#This Row],[Region 1: Fixed Fee Per Case ($)]]</f>
        <v>0</v>
      </c>
      <c r="T5" s="71" t="e">
        <f>(Table143[[#This Row],[Commercial Bid Price per case for NOI ($)]]+Table143[[#This Row],[Region 1: Fixed Fee Per Case ($)]])/Table143[[#This Row],['# of CN Servings per case]]</f>
        <v>#DIV/0!</v>
      </c>
      <c r="U5" s="71" t="e">
        <f>Table143[[#This Row],[Total Cost Per Serving (O+P)/J]]*Table143[[#This Row],[Estimated Servings Annual]]</f>
        <v>#DIV/0!</v>
      </c>
      <c r="V5" s="70">
        <f>(Table143[[#This Row],[Commercial Bid Price per case for NOI ($)]]-Table143[[#This Row],[Pass-Thru Value per case ($)]])+Table143[[#This Row],[Region 2: Fixed Fee Per Case ($)]]</f>
        <v>0</v>
      </c>
      <c r="W5" s="71" t="e">
        <f>(Table143[[#This Row],[Commercial Bid Price per case for NOI ($)]]+Table143[[#This Row],[Region 2: Fixed Fee Per Case ($)]])/Table143[[#This Row],['# of CN Servings per case]]</f>
        <v>#DIV/0!</v>
      </c>
      <c r="X5" s="72" t="e">
        <f>Table143[[#This Row],[Total Cost Per Serving (O+Q)/J]]*Table143[[#This Row],[Estimated Servings Annual]]</f>
        <v>#DIV/0!</v>
      </c>
    </row>
    <row r="6" spans="1:24" x14ac:dyDescent="0.35">
      <c r="A6" s="30" t="s">
        <v>30</v>
      </c>
      <c r="B6" s="28" t="s">
        <v>90</v>
      </c>
      <c r="C6" s="7" t="s">
        <v>50</v>
      </c>
      <c r="D6" s="7"/>
      <c r="E6" s="7"/>
      <c r="F6" s="7"/>
      <c r="G6" s="7"/>
      <c r="H6" s="7"/>
      <c r="I6" s="7"/>
      <c r="J6" s="7"/>
      <c r="K6" s="49">
        <v>100000</v>
      </c>
      <c r="L6" s="7"/>
      <c r="M6" s="7"/>
      <c r="N6" s="7"/>
      <c r="O6" s="7"/>
      <c r="P6" s="7"/>
      <c r="Q6" s="7"/>
      <c r="R6" s="7"/>
      <c r="S6" s="70">
        <f>(Table143[[#This Row],[Commercial Bid Price per case for NOI ($)]]-Table143[[#This Row],[Pass-Thru Value per case ($)]])+Table143[[#This Row],[Region 1: Fixed Fee Per Case ($)]]</f>
        <v>0</v>
      </c>
      <c r="T6" s="71" t="e">
        <f>(Table143[[#This Row],[Commercial Bid Price per case for NOI ($)]]+Table143[[#This Row],[Region 1: Fixed Fee Per Case ($)]])/Table143[[#This Row],['# of CN Servings per case]]</f>
        <v>#DIV/0!</v>
      </c>
      <c r="U6" s="71" t="e">
        <f>Table143[[#This Row],[Total Cost Per Serving (O+P)/J]]*Table143[[#This Row],[Estimated Servings Annual]]</f>
        <v>#DIV/0!</v>
      </c>
      <c r="V6" s="70">
        <f>(Table143[[#This Row],[Commercial Bid Price per case for NOI ($)]]-Table143[[#This Row],[Pass-Thru Value per case ($)]])+Table143[[#This Row],[Region 2: Fixed Fee Per Case ($)]]</f>
        <v>0</v>
      </c>
      <c r="W6" s="71" t="e">
        <f>(Table143[[#This Row],[Commercial Bid Price per case for NOI ($)]]+Table143[[#This Row],[Region 2: Fixed Fee Per Case ($)]])/Table143[[#This Row],['# of CN Servings per case]]</f>
        <v>#DIV/0!</v>
      </c>
      <c r="X6" s="72" t="e">
        <f>Table143[[#This Row],[Total Cost Per Serving (O+Q)/J]]*Table143[[#This Row],[Estimated Servings Annual]]</f>
        <v>#DIV/0!</v>
      </c>
    </row>
    <row r="7" spans="1:24" x14ac:dyDescent="0.35">
      <c r="A7" s="30" t="s">
        <v>30</v>
      </c>
      <c r="B7" s="28" t="s">
        <v>90</v>
      </c>
      <c r="C7" s="7" t="s">
        <v>13</v>
      </c>
      <c r="D7" s="7"/>
      <c r="E7" s="7"/>
      <c r="F7" s="7"/>
      <c r="G7" s="7"/>
      <c r="H7" s="7"/>
      <c r="I7" s="7"/>
      <c r="J7" s="7"/>
      <c r="K7" s="49">
        <v>100000</v>
      </c>
      <c r="L7" s="7"/>
      <c r="M7" s="7"/>
      <c r="N7" s="7"/>
      <c r="O7" s="7"/>
      <c r="P7" s="7"/>
      <c r="Q7" s="7"/>
      <c r="R7" s="7"/>
      <c r="S7" s="70">
        <f>(Table143[[#This Row],[Commercial Bid Price per case for NOI ($)]]-Table143[[#This Row],[Pass-Thru Value per case ($)]])+Table143[[#This Row],[Region 1: Fixed Fee Per Case ($)]]</f>
        <v>0</v>
      </c>
      <c r="T7" s="71" t="e">
        <f>(Table143[[#This Row],[Commercial Bid Price per case for NOI ($)]]+Table143[[#This Row],[Region 1: Fixed Fee Per Case ($)]])/Table143[[#This Row],['# of CN Servings per case]]</f>
        <v>#DIV/0!</v>
      </c>
      <c r="U7" s="71" t="e">
        <f>Table143[[#This Row],[Total Cost Per Serving (O+P)/J]]*Table143[[#This Row],[Estimated Servings Annual]]</f>
        <v>#DIV/0!</v>
      </c>
      <c r="V7" s="70">
        <f>(Table143[[#This Row],[Commercial Bid Price per case for NOI ($)]]-Table143[[#This Row],[Pass-Thru Value per case ($)]])+Table143[[#This Row],[Region 2: Fixed Fee Per Case ($)]]</f>
        <v>0</v>
      </c>
      <c r="W7" s="71" t="e">
        <f>(Table143[[#This Row],[Commercial Bid Price per case for NOI ($)]]+Table143[[#This Row],[Region 2: Fixed Fee Per Case ($)]])/Table143[[#This Row],['# of CN Servings per case]]</f>
        <v>#DIV/0!</v>
      </c>
      <c r="X7" s="72" t="e">
        <f>Table143[[#This Row],[Total Cost Per Serving (O+Q)/J]]*Table143[[#This Row],[Estimated Servings Annual]]</f>
        <v>#DIV/0!</v>
      </c>
    </row>
    <row r="8" spans="1:24" x14ac:dyDescent="0.35">
      <c r="A8" s="30" t="s">
        <v>30</v>
      </c>
      <c r="B8" s="28" t="s">
        <v>90</v>
      </c>
      <c r="C8" s="7" t="s">
        <v>13</v>
      </c>
      <c r="D8" s="7"/>
      <c r="E8" s="7"/>
      <c r="F8" s="7"/>
      <c r="G8" s="7"/>
      <c r="H8" s="7"/>
      <c r="I8" s="7"/>
      <c r="J8" s="7"/>
      <c r="K8" s="49">
        <v>100000</v>
      </c>
      <c r="L8" s="7"/>
      <c r="M8" s="7"/>
      <c r="N8" s="7"/>
      <c r="O8" s="7"/>
      <c r="P8" s="7"/>
      <c r="Q8" s="7"/>
      <c r="R8" s="7"/>
      <c r="S8" s="70">
        <f>(Table143[[#This Row],[Commercial Bid Price per case for NOI ($)]]-Table143[[#This Row],[Pass-Thru Value per case ($)]])+Table143[[#This Row],[Region 1: Fixed Fee Per Case ($)]]</f>
        <v>0</v>
      </c>
      <c r="T8" s="71" t="e">
        <f>(Table143[[#This Row],[Commercial Bid Price per case for NOI ($)]]+Table143[[#This Row],[Region 1: Fixed Fee Per Case ($)]])/Table143[[#This Row],['# of CN Servings per case]]</f>
        <v>#DIV/0!</v>
      </c>
      <c r="U8" s="71" t="e">
        <f>Table143[[#This Row],[Total Cost Per Serving (O+P)/J]]*Table143[[#This Row],[Estimated Servings Annual]]</f>
        <v>#DIV/0!</v>
      </c>
      <c r="V8" s="70">
        <f>(Table143[[#This Row],[Commercial Bid Price per case for NOI ($)]]-Table143[[#This Row],[Pass-Thru Value per case ($)]])+Table143[[#This Row],[Region 2: Fixed Fee Per Case ($)]]</f>
        <v>0</v>
      </c>
      <c r="W8" s="71" t="e">
        <f>(Table143[[#This Row],[Commercial Bid Price per case for NOI ($)]]+Table143[[#This Row],[Region 2: Fixed Fee Per Case ($)]])/Table143[[#This Row],['# of CN Servings per case]]</f>
        <v>#DIV/0!</v>
      </c>
      <c r="X8" s="72" t="e">
        <f>Table143[[#This Row],[Total Cost Per Serving (O+Q)/J]]*Table143[[#This Row],[Estimated Servings Annual]]</f>
        <v>#DIV/0!</v>
      </c>
    </row>
    <row r="9" spans="1:24" x14ac:dyDescent="0.35">
      <c r="A9" s="30" t="s">
        <v>30</v>
      </c>
      <c r="B9" s="28" t="s">
        <v>90</v>
      </c>
      <c r="C9" s="7" t="s">
        <v>13</v>
      </c>
      <c r="D9" s="7"/>
      <c r="E9" s="7"/>
      <c r="F9" s="7"/>
      <c r="G9" s="7"/>
      <c r="H9" s="7"/>
      <c r="I9" s="7"/>
      <c r="J9" s="7"/>
      <c r="K9" s="49">
        <v>100000</v>
      </c>
      <c r="L9" s="7"/>
      <c r="M9" s="7"/>
      <c r="N9" s="7"/>
      <c r="O9" s="7"/>
      <c r="P9" s="7"/>
      <c r="Q9" s="7"/>
      <c r="R9" s="7"/>
      <c r="S9" s="70">
        <f>(Table143[[#This Row],[Commercial Bid Price per case for NOI ($)]]-Table143[[#This Row],[Pass-Thru Value per case ($)]])+Table143[[#This Row],[Region 1: Fixed Fee Per Case ($)]]</f>
        <v>0</v>
      </c>
      <c r="T9" s="71" t="e">
        <f>(Table143[[#This Row],[Commercial Bid Price per case for NOI ($)]]+Table143[[#This Row],[Region 1: Fixed Fee Per Case ($)]])/Table143[[#This Row],['# of CN Servings per case]]</f>
        <v>#DIV/0!</v>
      </c>
      <c r="U9" s="71" t="e">
        <f>Table143[[#This Row],[Total Cost Per Serving (O+P)/J]]*Table143[[#This Row],[Estimated Servings Annual]]</f>
        <v>#DIV/0!</v>
      </c>
      <c r="V9" s="70">
        <f>(Table143[[#This Row],[Commercial Bid Price per case for NOI ($)]]-Table143[[#This Row],[Pass-Thru Value per case ($)]])+Table143[[#This Row],[Region 2: Fixed Fee Per Case ($)]]</f>
        <v>0</v>
      </c>
      <c r="W9" s="71" t="e">
        <f>(Table143[[#This Row],[Commercial Bid Price per case for NOI ($)]]+Table143[[#This Row],[Region 2: Fixed Fee Per Case ($)]])/Table143[[#This Row],['# of CN Servings per case]]</f>
        <v>#DIV/0!</v>
      </c>
      <c r="X9" s="72" t="e">
        <f>Table143[[#This Row],[Total Cost Per Serving (O+Q)/J]]*Table143[[#This Row],[Estimated Servings Annual]]</f>
        <v>#DIV/0!</v>
      </c>
    </row>
    <row r="10" spans="1:24" ht="15" thickBot="1" x14ac:dyDescent="0.4">
      <c r="A10" s="30" t="s">
        <v>30</v>
      </c>
      <c r="B10" s="41" t="s">
        <v>90</v>
      </c>
      <c r="C10" s="8" t="s">
        <v>13</v>
      </c>
      <c r="D10" s="8"/>
      <c r="E10" s="8"/>
      <c r="F10" s="8"/>
      <c r="G10" s="8"/>
      <c r="H10" s="8"/>
      <c r="I10" s="8"/>
      <c r="J10" s="8"/>
      <c r="K10" s="50">
        <v>100000</v>
      </c>
      <c r="L10" s="8"/>
      <c r="M10" s="8"/>
      <c r="N10" s="8"/>
      <c r="O10" s="8"/>
      <c r="P10" s="8"/>
      <c r="Q10" s="8"/>
      <c r="R10" s="8"/>
      <c r="S10" s="73">
        <f>(Table143[[#This Row],[Commercial Bid Price per case for NOI ($)]]-Table143[[#This Row],[Pass-Thru Value per case ($)]])+Table143[[#This Row],[Region 1: Fixed Fee Per Case ($)]]</f>
        <v>0</v>
      </c>
      <c r="T10" s="74" t="e">
        <f>(Table143[[#This Row],[Commercial Bid Price per case for NOI ($)]]+Table143[[#This Row],[Region 1: Fixed Fee Per Case ($)]])/Table143[[#This Row],['# of CN Servings per case]]</f>
        <v>#DIV/0!</v>
      </c>
      <c r="U10" s="74" t="e">
        <f>Table143[[#This Row],[Total Cost Per Serving (O+P)/J]]*Table143[[#This Row],[Estimated Servings Annual]]</f>
        <v>#DIV/0!</v>
      </c>
      <c r="V10" s="73">
        <f>(Table143[[#This Row],[Commercial Bid Price per case for NOI ($)]]-Table143[[#This Row],[Pass-Thru Value per case ($)]])+Table143[[#This Row],[Region 2: Fixed Fee Per Case ($)]]</f>
        <v>0</v>
      </c>
      <c r="W10" s="74" t="e">
        <f>(Table143[[#This Row],[Commercial Bid Price per case for NOI ($)]]+Table143[[#This Row],[Region 2: Fixed Fee Per Case ($)]])/Table143[[#This Row],['# of CN Servings per case]]</f>
        <v>#DIV/0!</v>
      </c>
      <c r="X10" s="75" t="e">
        <f>Table143[[#This Row],[Total Cost Per Serving (O+Q)/J]]*Table143[[#This Row],[Estimated Servings Annual]]</f>
        <v>#DIV/0!</v>
      </c>
    </row>
    <row r="11" spans="1:24" x14ac:dyDescent="0.35">
      <c r="A11" s="30" t="s">
        <v>30</v>
      </c>
      <c r="B11" s="42" t="s">
        <v>91</v>
      </c>
      <c r="C11" s="6" t="s">
        <v>61</v>
      </c>
      <c r="D11" s="6"/>
      <c r="E11" s="6"/>
      <c r="F11" s="6"/>
      <c r="G11" s="6"/>
      <c r="H11" s="6"/>
      <c r="I11" s="6"/>
      <c r="J11" s="6"/>
      <c r="K11" s="48">
        <v>200000</v>
      </c>
      <c r="L11" s="6"/>
      <c r="M11" s="6"/>
      <c r="N11" s="6"/>
      <c r="O11" s="6"/>
      <c r="P11" s="6"/>
      <c r="Q11" s="6"/>
      <c r="R11" s="6"/>
      <c r="S11" s="67">
        <f>(Table143[[#This Row],[Commercial Bid Price per case for NOI ($)]]-Table143[[#This Row],[Pass-Thru Value per case ($)]])+Table143[[#This Row],[Region 1: Fixed Fee Per Case ($)]]</f>
        <v>0</v>
      </c>
      <c r="T11" s="68" t="e">
        <f>(Table143[[#This Row],[Commercial Bid Price per case for NOI ($)]]+Table143[[#This Row],[Region 1: Fixed Fee Per Case ($)]])/Table143[[#This Row],['# of CN Servings per case]]</f>
        <v>#DIV/0!</v>
      </c>
      <c r="U11" s="68" t="e">
        <f>Table143[[#This Row],[Total Cost Per Serving (O+P)/J]]*Table143[[#This Row],[Estimated Servings Annual]]</f>
        <v>#DIV/0!</v>
      </c>
      <c r="V11" s="67">
        <f>(Table143[[#This Row],[Commercial Bid Price per case for NOI ($)]]-Table143[[#This Row],[Pass-Thru Value per case ($)]])+Table143[[#This Row],[Region 2: Fixed Fee Per Case ($)]]</f>
        <v>0</v>
      </c>
      <c r="W11" s="68" t="e">
        <f>(Table143[[#This Row],[Commercial Bid Price per case for NOI ($)]]+Table143[[#This Row],[Region 2: Fixed Fee Per Case ($)]])/Table143[[#This Row],['# of CN Servings per case]]</f>
        <v>#DIV/0!</v>
      </c>
      <c r="X11" s="69" t="e">
        <f>Table143[[#This Row],[Total Cost Per Serving (O+Q)/J]]*Table143[[#This Row],[Estimated Servings Annual]]</f>
        <v>#DIV/0!</v>
      </c>
    </row>
    <row r="12" spans="1:24" x14ac:dyDescent="0.35">
      <c r="A12" s="30" t="s">
        <v>30</v>
      </c>
      <c r="B12" s="28" t="s">
        <v>91</v>
      </c>
      <c r="C12" s="7" t="s">
        <v>61</v>
      </c>
      <c r="D12" s="7"/>
      <c r="E12" s="7"/>
      <c r="F12" s="7"/>
      <c r="G12" s="7"/>
      <c r="H12" s="7"/>
      <c r="I12" s="7"/>
      <c r="J12" s="7"/>
      <c r="K12" s="49">
        <v>200000</v>
      </c>
      <c r="L12" s="7"/>
      <c r="M12" s="7"/>
      <c r="N12" s="7"/>
      <c r="O12" s="7"/>
      <c r="P12" s="7"/>
      <c r="Q12" s="7"/>
      <c r="R12" s="7"/>
      <c r="S12" s="70">
        <f>(Table143[[#This Row],[Commercial Bid Price per case for NOI ($)]]-Table143[[#This Row],[Pass-Thru Value per case ($)]])+Table143[[#This Row],[Region 1: Fixed Fee Per Case ($)]]</f>
        <v>0</v>
      </c>
      <c r="T12" s="71" t="e">
        <f>(Table143[[#This Row],[Commercial Bid Price per case for NOI ($)]]+Table143[[#This Row],[Region 1: Fixed Fee Per Case ($)]])/Table143[[#This Row],['# of CN Servings per case]]</f>
        <v>#DIV/0!</v>
      </c>
      <c r="U12" s="71" t="e">
        <f>Table143[[#This Row],[Total Cost Per Serving (O+P)/J]]*Table143[[#This Row],[Estimated Servings Annual]]</f>
        <v>#DIV/0!</v>
      </c>
      <c r="V12" s="70">
        <f>(Table143[[#This Row],[Commercial Bid Price per case for NOI ($)]]-Table143[[#This Row],[Pass-Thru Value per case ($)]])+Table143[[#This Row],[Region 2: Fixed Fee Per Case ($)]]</f>
        <v>0</v>
      </c>
      <c r="W12" s="71" t="e">
        <f>(Table143[[#This Row],[Commercial Bid Price per case for NOI ($)]]+Table143[[#This Row],[Region 2: Fixed Fee Per Case ($)]])/Table143[[#This Row],['# of CN Servings per case]]</f>
        <v>#DIV/0!</v>
      </c>
      <c r="X12" s="72" t="e">
        <f>Table143[[#This Row],[Total Cost Per Serving (O+Q)/J]]*Table143[[#This Row],[Estimated Servings Annual]]</f>
        <v>#DIV/0!</v>
      </c>
    </row>
    <row r="13" spans="1:24" x14ac:dyDescent="0.35">
      <c r="A13" s="30" t="s">
        <v>30</v>
      </c>
      <c r="B13" s="28" t="s">
        <v>91</v>
      </c>
      <c r="C13" s="7" t="s">
        <v>50</v>
      </c>
      <c r="D13" s="7"/>
      <c r="E13" s="7"/>
      <c r="F13" s="7"/>
      <c r="G13" s="7"/>
      <c r="H13" s="7"/>
      <c r="I13" s="7"/>
      <c r="J13" s="7"/>
      <c r="K13" s="49">
        <v>200000</v>
      </c>
      <c r="L13" s="7"/>
      <c r="M13" s="7"/>
      <c r="N13" s="7"/>
      <c r="O13" s="7"/>
      <c r="P13" s="7"/>
      <c r="Q13" s="7"/>
      <c r="R13" s="7"/>
      <c r="S13" s="70">
        <f>(Table143[[#This Row],[Commercial Bid Price per case for NOI ($)]]-Table143[[#This Row],[Pass-Thru Value per case ($)]])+Table143[[#This Row],[Region 1: Fixed Fee Per Case ($)]]</f>
        <v>0</v>
      </c>
      <c r="T13" s="71" t="e">
        <f>(Table143[[#This Row],[Commercial Bid Price per case for NOI ($)]]+Table143[[#This Row],[Region 1: Fixed Fee Per Case ($)]])/Table143[[#This Row],['# of CN Servings per case]]</f>
        <v>#DIV/0!</v>
      </c>
      <c r="U13" s="71" t="e">
        <f>Table143[[#This Row],[Total Cost Per Serving (O+P)/J]]*Table143[[#This Row],[Estimated Servings Annual]]</f>
        <v>#DIV/0!</v>
      </c>
      <c r="V13" s="70">
        <f>(Table143[[#This Row],[Commercial Bid Price per case for NOI ($)]]-Table143[[#This Row],[Pass-Thru Value per case ($)]])+Table143[[#This Row],[Region 2: Fixed Fee Per Case ($)]]</f>
        <v>0</v>
      </c>
      <c r="W13" s="71" t="e">
        <f>(Table143[[#This Row],[Commercial Bid Price per case for NOI ($)]]+Table143[[#This Row],[Region 2: Fixed Fee Per Case ($)]])/Table143[[#This Row],['# of CN Servings per case]]</f>
        <v>#DIV/0!</v>
      </c>
      <c r="X13" s="72" t="e">
        <f>Table143[[#This Row],[Total Cost Per Serving (O+Q)/J]]*Table143[[#This Row],[Estimated Servings Annual]]</f>
        <v>#DIV/0!</v>
      </c>
    </row>
    <row r="14" spans="1:24" x14ac:dyDescent="0.35">
      <c r="A14" s="30" t="s">
        <v>30</v>
      </c>
      <c r="B14" s="28" t="s">
        <v>91</v>
      </c>
      <c r="C14" s="7" t="s">
        <v>50</v>
      </c>
      <c r="D14" s="7"/>
      <c r="E14" s="7"/>
      <c r="F14" s="7"/>
      <c r="G14" s="7"/>
      <c r="H14" s="7"/>
      <c r="I14" s="7"/>
      <c r="J14" s="7"/>
      <c r="K14" s="49">
        <v>200000</v>
      </c>
      <c r="L14" s="7"/>
      <c r="M14" s="7"/>
      <c r="N14" s="7"/>
      <c r="O14" s="7"/>
      <c r="P14" s="7"/>
      <c r="Q14" s="7"/>
      <c r="R14" s="7"/>
      <c r="S14" s="70">
        <f>(Table143[[#This Row],[Commercial Bid Price per case for NOI ($)]]-Table143[[#This Row],[Pass-Thru Value per case ($)]])+Table143[[#This Row],[Region 1: Fixed Fee Per Case ($)]]</f>
        <v>0</v>
      </c>
      <c r="T14" s="71" t="e">
        <f>(Table143[[#This Row],[Commercial Bid Price per case for NOI ($)]]+Table143[[#This Row],[Region 1: Fixed Fee Per Case ($)]])/Table143[[#This Row],['# of CN Servings per case]]</f>
        <v>#DIV/0!</v>
      </c>
      <c r="U14" s="71" t="e">
        <f>Table143[[#This Row],[Total Cost Per Serving (O+P)/J]]*Table143[[#This Row],[Estimated Servings Annual]]</f>
        <v>#DIV/0!</v>
      </c>
      <c r="V14" s="70">
        <f>(Table143[[#This Row],[Commercial Bid Price per case for NOI ($)]]-Table143[[#This Row],[Pass-Thru Value per case ($)]])+Table143[[#This Row],[Region 2: Fixed Fee Per Case ($)]]</f>
        <v>0</v>
      </c>
      <c r="W14" s="71" t="e">
        <f>(Table143[[#This Row],[Commercial Bid Price per case for NOI ($)]]+Table143[[#This Row],[Region 2: Fixed Fee Per Case ($)]])/Table143[[#This Row],['# of CN Servings per case]]</f>
        <v>#DIV/0!</v>
      </c>
      <c r="X14" s="72" t="e">
        <f>Table143[[#This Row],[Total Cost Per Serving (O+Q)/J]]*Table143[[#This Row],[Estimated Servings Annual]]</f>
        <v>#DIV/0!</v>
      </c>
    </row>
    <row r="15" spans="1:24" x14ac:dyDescent="0.35">
      <c r="A15" s="30" t="s">
        <v>30</v>
      </c>
      <c r="B15" s="28" t="s">
        <v>91</v>
      </c>
      <c r="C15" s="7" t="s">
        <v>101</v>
      </c>
      <c r="D15" s="7"/>
      <c r="E15" s="7"/>
      <c r="F15" s="7"/>
      <c r="G15" s="7"/>
      <c r="H15" s="7"/>
      <c r="I15" s="7"/>
      <c r="J15" s="7"/>
      <c r="K15" s="49">
        <v>200000</v>
      </c>
      <c r="L15" s="7"/>
      <c r="M15" s="7"/>
      <c r="N15" s="7"/>
      <c r="O15" s="7"/>
      <c r="P15" s="7"/>
      <c r="Q15" s="7"/>
      <c r="R15" s="7"/>
      <c r="S15" s="70">
        <f>(Table143[[#This Row],[Commercial Bid Price per case for NOI ($)]]-Table143[[#This Row],[Pass-Thru Value per case ($)]])+Table143[[#This Row],[Region 1: Fixed Fee Per Case ($)]]</f>
        <v>0</v>
      </c>
      <c r="T15" s="71" t="e">
        <f>(Table143[[#This Row],[Commercial Bid Price per case for NOI ($)]]+Table143[[#This Row],[Region 1: Fixed Fee Per Case ($)]])/Table143[[#This Row],['# of CN Servings per case]]</f>
        <v>#DIV/0!</v>
      </c>
      <c r="U15" s="71" t="e">
        <f>Table143[[#This Row],[Total Cost Per Serving (O+P)/J]]*Table143[[#This Row],[Estimated Servings Annual]]</f>
        <v>#DIV/0!</v>
      </c>
      <c r="V15" s="70">
        <f>(Table143[[#This Row],[Commercial Bid Price per case for NOI ($)]]-Table143[[#This Row],[Pass-Thru Value per case ($)]])+Table143[[#This Row],[Region 2: Fixed Fee Per Case ($)]]</f>
        <v>0</v>
      </c>
      <c r="W15" s="71" t="e">
        <f>(Table143[[#This Row],[Commercial Bid Price per case for NOI ($)]]+Table143[[#This Row],[Region 2: Fixed Fee Per Case ($)]])/Table143[[#This Row],['# of CN Servings per case]]</f>
        <v>#DIV/0!</v>
      </c>
      <c r="X15" s="72" t="e">
        <f>Table143[[#This Row],[Total Cost Per Serving (O+Q)/J]]*Table143[[#This Row],[Estimated Servings Annual]]</f>
        <v>#DIV/0!</v>
      </c>
    </row>
    <row r="16" spans="1:24" x14ac:dyDescent="0.35">
      <c r="A16" s="30" t="s">
        <v>30</v>
      </c>
      <c r="B16" s="28" t="s">
        <v>91</v>
      </c>
      <c r="C16" s="7" t="s">
        <v>101</v>
      </c>
      <c r="D16" s="7"/>
      <c r="E16" s="7"/>
      <c r="F16" s="7"/>
      <c r="G16" s="7"/>
      <c r="H16" s="7"/>
      <c r="I16" s="7"/>
      <c r="J16" s="7"/>
      <c r="K16" s="49">
        <v>200000</v>
      </c>
      <c r="L16" s="7"/>
      <c r="M16" s="7"/>
      <c r="N16" s="7"/>
      <c r="O16" s="7"/>
      <c r="P16" s="7"/>
      <c r="Q16" s="7"/>
      <c r="R16" s="7"/>
      <c r="S16" s="70">
        <f>(Table143[[#This Row],[Commercial Bid Price per case for NOI ($)]]-Table143[[#This Row],[Pass-Thru Value per case ($)]])+Table143[[#This Row],[Region 1: Fixed Fee Per Case ($)]]</f>
        <v>0</v>
      </c>
      <c r="T16" s="71" t="e">
        <f>(Table143[[#This Row],[Commercial Bid Price per case for NOI ($)]]+Table143[[#This Row],[Region 1: Fixed Fee Per Case ($)]])/Table143[[#This Row],['# of CN Servings per case]]</f>
        <v>#DIV/0!</v>
      </c>
      <c r="U16" s="71" t="e">
        <f>Table143[[#This Row],[Total Cost Per Serving (O+P)/J]]*Table143[[#This Row],[Estimated Servings Annual]]</f>
        <v>#DIV/0!</v>
      </c>
      <c r="V16" s="70">
        <f>(Table143[[#This Row],[Commercial Bid Price per case for NOI ($)]]-Table143[[#This Row],[Pass-Thru Value per case ($)]])+Table143[[#This Row],[Region 2: Fixed Fee Per Case ($)]]</f>
        <v>0</v>
      </c>
      <c r="W16" s="71" t="e">
        <f>(Table143[[#This Row],[Commercial Bid Price per case for NOI ($)]]+Table143[[#This Row],[Region 2: Fixed Fee Per Case ($)]])/Table143[[#This Row],['# of CN Servings per case]]</f>
        <v>#DIV/0!</v>
      </c>
      <c r="X16" s="72" t="e">
        <f>Table143[[#This Row],[Total Cost Per Serving (O+Q)/J]]*Table143[[#This Row],[Estimated Servings Annual]]</f>
        <v>#DIV/0!</v>
      </c>
    </row>
    <row r="17" spans="1:24" x14ac:dyDescent="0.35">
      <c r="A17" s="30" t="s">
        <v>30</v>
      </c>
      <c r="B17" s="28" t="s">
        <v>91</v>
      </c>
      <c r="C17" s="7" t="s">
        <v>13</v>
      </c>
      <c r="D17" s="7"/>
      <c r="E17" s="7"/>
      <c r="F17" s="7"/>
      <c r="G17" s="7"/>
      <c r="H17" s="7"/>
      <c r="I17" s="7"/>
      <c r="J17" s="7"/>
      <c r="K17" s="49">
        <v>200000</v>
      </c>
      <c r="L17" s="7"/>
      <c r="M17" s="7"/>
      <c r="N17" s="7"/>
      <c r="O17" s="7"/>
      <c r="P17" s="7"/>
      <c r="Q17" s="7"/>
      <c r="R17" s="7"/>
      <c r="S17" s="70">
        <f>(Table143[[#This Row],[Commercial Bid Price per case for NOI ($)]]-Table143[[#This Row],[Pass-Thru Value per case ($)]])+Table143[[#This Row],[Region 1: Fixed Fee Per Case ($)]]</f>
        <v>0</v>
      </c>
      <c r="T17" s="71" t="e">
        <f>(Table143[[#This Row],[Commercial Bid Price per case for NOI ($)]]+Table143[[#This Row],[Region 1: Fixed Fee Per Case ($)]])/Table143[[#This Row],['# of CN Servings per case]]</f>
        <v>#DIV/0!</v>
      </c>
      <c r="U17" s="71" t="e">
        <f>Table143[[#This Row],[Total Cost Per Serving (O+P)/J]]*Table143[[#This Row],[Estimated Servings Annual]]</f>
        <v>#DIV/0!</v>
      </c>
      <c r="V17" s="70">
        <f>(Table143[[#This Row],[Commercial Bid Price per case for NOI ($)]]-Table143[[#This Row],[Pass-Thru Value per case ($)]])+Table143[[#This Row],[Region 2: Fixed Fee Per Case ($)]]</f>
        <v>0</v>
      </c>
      <c r="W17" s="71" t="e">
        <f>(Table143[[#This Row],[Commercial Bid Price per case for NOI ($)]]+Table143[[#This Row],[Region 2: Fixed Fee Per Case ($)]])/Table143[[#This Row],['# of CN Servings per case]]</f>
        <v>#DIV/0!</v>
      </c>
      <c r="X17" s="72" t="e">
        <f>Table143[[#This Row],[Total Cost Per Serving (O+Q)/J]]*Table143[[#This Row],[Estimated Servings Annual]]</f>
        <v>#DIV/0!</v>
      </c>
    </row>
    <row r="18" spans="1:24" ht="15" thickBot="1" x14ac:dyDescent="0.4">
      <c r="A18" s="30" t="s">
        <v>30</v>
      </c>
      <c r="B18" s="41" t="s">
        <v>91</v>
      </c>
      <c r="C18" s="8" t="s">
        <v>13</v>
      </c>
      <c r="D18" s="8"/>
      <c r="E18" s="8"/>
      <c r="F18" s="8"/>
      <c r="G18" s="8"/>
      <c r="H18" s="8"/>
      <c r="I18" s="8"/>
      <c r="J18" s="8"/>
      <c r="K18" s="50">
        <v>200000</v>
      </c>
      <c r="L18" s="8"/>
      <c r="M18" s="8"/>
      <c r="N18" s="8"/>
      <c r="O18" s="8"/>
      <c r="P18" s="8"/>
      <c r="Q18" s="8"/>
      <c r="R18" s="8"/>
      <c r="S18" s="73">
        <f>(Table143[[#This Row],[Commercial Bid Price per case for NOI ($)]]-Table143[[#This Row],[Pass-Thru Value per case ($)]])+Table143[[#This Row],[Region 1: Fixed Fee Per Case ($)]]</f>
        <v>0</v>
      </c>
      <c r="T18" s="74" t="e">
        <f>(Table143[[#This Row],[Commercial Bid Price per case for NOI ($)]]+Table143[[#This Row],[Region 1: Fixed Fee Per Case ($)]])/Table143[[#This Row],['# of CN Servings per case]]</f>
        <v>#DIV/0!</v>
      </c>
      <c r="U18" s="74" t="e">
        <f>Table143[[#This Row],[Total Cost Per Serving (O+P)/J]]*Table143[[#This Row],[Estimated Servings Annual]]</f>
        <v>#DIV/0!</v>
      </c>
      <c r="V18" s="73">
        <f>(Table143[[#This Row],[Commercial Bid Price per case for NOI ($)]]-Table143[[#This Row],[Pass-Thru Value per case ($)]])+Table143[[#This Row],[Region 2: Fixed Fee Per Case ($)]]</f>
        <v>0</v>
      </c>
      <c r="W18" s="74" t="e">
        <f>(Table143[[#This Row],[Commercial Bid Price per case for NOI ($)]]+Table143[[#This Row],[Region 2: Fixed Fee Per Case ($)]])/Table143[[#This Row],['# of CN Servings per case]]</f>
        <v>#DIV/0!</v>
      </c>
      <c r="X18" s="75" t="e">
        <f>Table143[[#This Row],[Total Cost Per Serving (O+Q)/J]]*Table143[[#This Row],[Estimated Servings Annual]]</f>
        <v>#DIV/0!</v>
      </c>
    </row>
    <row r="19" spans="1:24" x14ac:dyDescent="0.35">
      <c r="A19" s="30" t="s">
        <v>30</v>
      </c>
      <c r="B19" s="42" t="s">
        <v>92</v>
      </c>
      <c r="C19" s="6" t="s">
        <v>61</v>
      </c>
      <c r="D19" s="6"/>
      <c r="E19" s="6"/>
      <c r="F19" s="6"/>
      <c r="G19" s="6"/>
      <c r="H19" s="6"/>
      <c r="I19" s="6"/>
      <c r="J19" s="6"/>
      <c r="K19" s="48">
        <v>160000</v>
      </c>
      <c r="L19" s="6"/>
      <c r="M19" s="6"/>
      <c r="N19" s="6"/>
      <c r="O19" s="6"/>
      <c r="P19" s="6"/>
      <c r="Q19" s="6"/>
      <c r="R19" s="6"/>
      <c r="S19" s="67">
        <f>(Table143[[#This Row],[Commercial Bid Price per case for NOI ($)]]-Table143[[#This Row],[Pass-Thru Value per case ($)]])+Table143[[#This Row],[Region 1: Fixed Fee Per Case ($)]]</f>
        <v>0</v>
      </c>
      <c r="T19" s="68" t="e">
        <f>(Table143[[#This Row],[Commercial Bid Price per case for NOI ($)]]+Table143[[#This Row],[Region 1: Fixed Fee Per Case ($)]])/Table143[[#This Row],['# of CN Servings per case]]</f>
        <v>#DIV/0!</v>
      </c>
      <c r="U19" s="68" t="e">
        <f>Table143[[#This Row],[Total Cost Per Serving (O+P)/J]]*Table143[[#This Row],[Estimated Servings Annual]]</f>
        <v>#DIV/0!</v>
      </c>
      <c r="V19" s="67">
        <f>(Table143[[#This Row],[Commercial Bid Price per case for NOI ($)]]-Table143[[#This Row],[Pass-Thru Value per case ($)]])+Table143[[#This Row],[Region 2: Fixed Fee Per Case ($)]]</f>
        <v>0</v>
      </c>
      <c r="W19" s="68" t="e">
        <f>(Table143[[#This Row],[Commercial Bid Price per case for NOI ($)]]+Table143[[#This Row],[Region 2: Fixed Fee Per Case ($)]])/Table143[[#This Row],['# of CN Servings per case]]</f>
        <v>#DIV/0!</v>
      </c>
      <c r="X19" s="69" t="e">
        <f>Table143[[#This Row],[Total Cost Per Serving (O+Q)/J]]*Table143[[#This Row],[Estimated Servings Annual]]</f>
        <v>#DIV/0!</v>
      </c>
    </row>
    <row r="20" spans="1:24" x14ac:dyDescent="0.35">
      <c r="A20" s="30" t="s">
        <v>30</v>
      </c>
      <c r="B20" s="28" t="s">
        <v>92</v>
      </c>
      <c r="C20" s="7" t="s">
        <v>61</v>
      </c>
      <c r="D20" s="7"/>
      <c r="E20" s="7"/>
      <c r="F20" s="7"/>
      <c r="G20" s="7"/>
      <c r="H20" s="7"/>
      <c r="I20" s="7"/>
      <c r="J20" s="7"/>
      <c r="K20" s="49">
        <v>160000</v>
      </c>
      <c r="L20" s="7"/>
      <c r="M20" s="7"/>
      <c r="N20" s="7"/>
      <c r="O20" s="7"/>
      <c r="P20" s="7"/>
      <c r="Q20" s="7"/>
      <c r="R20" s="7"/>
      <c r="S20" s="70">
        <f>(Table143[[#This Row],[Commercial Bid Price per case for NOI ($)]]-Table143[[#This Row],[Pass-Thru Value per case ($)]])+Table143[[#This Row],[Region 1: Fixed Fee Per Case ($)]]</f>
        <v>0</v>
      </c>
      <c r="T20" s="71" t="e">
        <f>(Table143[[#This Row],[Commercial Bid Price per case for NOI ($)]]+Table143[[#This Row],[Region 1: Fixed Fee Per Case ($)]])/Table143[[#This Row],['# of CN Servings per case]]</f>
        <v>#DIV/0!</v>
      </c>
      <c r="U20" s="71" t="e">
        <f>Table143[[#This Row],[Total Cost Per Serving (O+P)/J]]*Table143[[#This Row],[Estimated Servings Annual]]</f>
        <v>#DIV/0!</v>
      </c>
      <c r="V20" s="70">
        <f>(Table143[[#This Row],[Commercial Bid Price per case for NOI ($)]]-Table143[[#This Row],[Pass-Thru Value per case ($)]])+Table143[[#This Row],[Region 2: Fixed Fee Per Case ($)]]</f>
        <v>0</v>
      </c>
      <c r="W20" s="71" t="e">
        <f>(Table143[[#This Row],[Commercial Bid Price per case for NOI ($)]]+Table143[[#This Row],[Region 2: Fixed Fee Per Case ($)]])/Table143[[#This Row],['# of CN Servings per case]]</f>
        <v>#DIV/0!</v>
      </c>
      <c r="X20" s="72" t="e">
        <f>Table143[[#This Row],[Total Cost Per Serving (O+Q)/J]]*Table143[[#This Row],[Estimated Servings Annual]]</f>
        <v>#DIV/0!</v>
      </c>
    </row>
    <row r="21" spans="1:24" x14ac:dyDescent="0.35">
      <c r="A21" s="30" t="s">
        <v>30</v>
      </c>
      <c r="B21" s="28" t="s">
        <v>92</v>
      </c>
      <c r="C21" s="7" t="s">
        <v>50</v>
      </c>
      <c r="D21" s="7"/>
      <c r="E21" s="7"/>
      <c r="F21" s="7"/>
      <c r="G21" s="7"/>
      <c r="H21" s="7"/>
      <c r="I21" s="7"/>
      <c r="J21" s="7"/>
      <c r="K21" s="49">
        <v>160000</v>
      </c>
      <c r="L21" s="7"/>
      <c r="M21" s="7"/>
      <c r="N21" s="7"/>
      <c r="O21" s="7"/>
      <c r="P21" s="7"/>
      <c r="Q21" s="7"/>
      <c r="R21" s="7"/>
      <c r="S21" s="70">
        <f>(Table143[[#This Row],[Commercial Bid Price per case for NOI ($)]]-Table143[[#This Row],[Pass-Thru Value per case ($)]])+Table143[[#This Row],[Region 1: Fixed Fee Per Case ($)]]</f>
        <v>0</v>
      </c>
      <c r="T21" s="71" t="e">
        <f>(Table143[[#This Row],[Commercial Bid Price per case for NOI ($)]]+Table143[[#This Row],[Region 1: Fixed Fee Per Case ($)]])/Table143[[#This Row],['# of CN Servings per case]]</f>
        <v>#DIV/0!</v>
      </c>
      <c r="U21" s="71" t="e">
        <f>Table143[[#This Row],[Total Cost Per Serving (O+P)/J]]*Table143[[#This Row],[Estimated Servings Annual]]</f>
        <v>#DIV/0!</v>
      </c>
      <c r="V21" s="70">
        <f>(Table143[[#This Row],[Commercial Bid Price per case for NOI ($)]]-Table143[[#This Row],[Pass-Thru Value per case ($)]])+Table143[[#This Row],[Region 2: Fixed Fee Per Case ($)]]</f>
        <v>0</v>
      </c>
      <c r="W21" s="71" t="e">
        <f>(Table143[[#This Row],[Commercial Bid Price per case for NOI ($)]]+Table143[[#This Row],[Region 2: Fixed Fee Per Case ($)]])/Table143[[#This Row],['# of CN Servings per case]]</f>
        <v>#DIV/0!</v>
      </c>
      <c r="X21" s="72" t="e">
        <f>Table143[[#This Row],[Total Cost Per Serving (O+Q)/J]]*Table143[[#This Row],[Estimated Servings Annual]]</f>
        <v>#DIV/0!</v>
      </c>
    </row>
    <row r="22" spans="1:24" x14ac:dyDescent="0.35">
      <c r="A22" s="30" t="s">
        <v>30</v>
      </c>
      <c r="B22" s="28" t="s">
        <v>92</v>
      </c>
      <c r="C22" s="7" t="s">
        <v>50</v>
      </c>
      <c r="D22" s="7"/>
      <c r="E22" s="7"/>
      <c r="F22" s="7"/>
      <c r="G22" s="7"/>
      <c r="H22" s="7"/>
      <c r="I22" s="7"/>
      <c r="J22" s="7"/>
      <c r="K22" s="49">
        <v>160000</v>
      </c>
      <c r="L22" s="7"/>
      <c r="M22" s="7"/>
      <c r="N22" s="7"/>
      <c r="O22" s="7"/>
      <c r="P22" s="7"/>
      <c r="Q22" s="7"/>
      <c r="R22" s="7"/>
      <c r="S22" s="70">
        <f>(Table143[[#This Row],[Commercial Bid Price per case for NOI ($)]]-Table143[[#This Row],[Pass-Thru Value per case ($)]])+Table143[[#This Row],[Region 1: Fixed Fee Per Case ($)]]</f>
        <v>0</v>
      </c>
      <c r="T22" s="71" t="e">
        <f>(Table143[[#This Row],[Commercial Bid Price per case for NOI ($)]]+Table143[[#This Row],[Region 1: Fixed Fee Per Case ($)]])/Table143[[#This Row],['# of CN Servings per case]]</f>
        <v>#DIV/0!</v>
      </c>
      <c r="U22" s="71" t="e">
        <f>Table143[[#This Row],[Total Cost Per Serving (O+P)/J]]*Table143[[#This Row],[Estimated Servings Annual]]</f>
        <v>#DIV/0!</v>
      </c>
      <c r="V22" s="70">
        <f>(Table143[[#This Row],[Commercial Bid Price per case for NOI ($)]]-Table143[[#This Row],[Pass-Thru Value per case ($)]])+Table143[[#This Row],[Region 2: Fixed Fee Per Case ($)]]</f>
        <v>0</v>
      </c>
      <c r="W22" s="71" t="e">
        <f>(Table143[[#This Row],[Commercial Bid Price per case for NOI ($)]]+Table143[[#This Row],[Region 2: Fixed Fee Per Case ($)]])/Table143[[#This Row],['# of CN Servings per case]]</f>
        <v>#DIV/0!</v>
      </c>
      <c r="X22" s="72" t="e">
        <f>Table143[[#This Row],[Total Cost Per Serving (O+Q)/J]]*Table143[[#This Row],[Estimated Servings Annual]]</f>
        <v>#DIV/0!</v>
      </c>
    </row>
    <row r="23" spans="1:24" x14ac:dyDescent="0.35">
      <c r="A23" s="30" t="s">
        <v>30</v>
      </c>
      <c r="B23" s="28" t="s">
        <v>92</v>
      </c>
      <c r="C23" s="7" t="s">
        <v>13</v>
      </c>
      <c r="D23" s="7"/>
      <c r="E23" s="7"/>
      <c r="F23" s="7"/>
      <c r="G23" s="7"/>
      <c r="H23" s="7"/>
      <c r="I23" s="7"/>
      <c r="J23" s="7"/>
      <c r="K23" s="49">
        <v>160000</v>
      </c>
      <c r="L23" s="7"/>
      <c r="M23" s="7"/>
      <c r="N23" s="7"/>
      <c r="O23" s="7"/>
      <c r="P23" s="7"/>
      <c r="Q23" s="7"/>
      <c r="R23" s="7"/>
      <c r="S23" s="70">
        <f>(Table143[[#This Row],[Commercial Bid Price per case for NOI ($)]]-Table143[[#This Row],[Pass-Thru Value per case ($)]])+Table143[[#This Row],[Region 1: Fixed Fee Per Case ($)]]</f>
        <v>0</v>
      </c>
      <c r="T23" s="71" t="e">
        <f>(Table143[[#This Row],[Commercial Bid Price per case for NOI ($)]]+Table143[[#This Row],[Region 1: Fixed Fee Per Case ($)]])/Table143[[#This Row],['# of CN Servings per case]]</f>
        <v>#DIV/0!</v>
      </c>
      <c r="U23" s="71" t="e">
        <f>Table143[[#This Row],[Total Cost Per Serving (O+P)/J]]*Table143[[#This Row],[Estimated Servings Annual]]</f>
        <v>#DIV/0!</v>
      </c>
      <c r="V23" s="70">
        <f>(Table143[[#This Row],[Commercial Bid Price per case for NOI ($)]]-Table143[[#This Row],[Pass-Thru Value per case ($)]])+Table143[[#This Row],[Region 2: Fixed Fee Per Case ($)]]</f>
        <v>0</v>
      </c>
      <c r="W23" s="71" t="e">
        <f>(Table143[[#This Row],[Commercial Bid Price per case for NOI ($)]]+Table143[[#This Row],[Region 2: Fixed Fee Per Case ($)]])/Table143[[#This Row],['# of CN Servings per case]]</f>
        <v>#DIV/0!</v>
      </c>
      <c r="X23" s="72" t="e">
        <f>Table143[[#This Row],[Total Cost Per Serving (O+Q)/J]]*Table143[[#This Row],[Estimated Servings Annual]]</f>
        <v>#DIV/0!</v>
      </c>
    </row>
    <row r="24" spans="1:24" x14ac:dyDescent="0.35">
      <c r="A24" s="30" t="s">
        <v>30</v>
      </c>
      <c r="B24" s="28" t="s">
        <v>92</v>
      </c>
      <c r="C24" s="7" t="s">
        <v>13</v>
      </c>
      <c r="D24" s="7"/>
      <c r="E24" s="7"/>
      <c r="F24" s="7"/>
      <c r="G24" s="7"/>
      <c r="H24" s="7"/>
      <c r="I24" s="7"/>
      <c r="J24" s="7"/>
      <c r="K24" s="49">
        <v>160000</v>
      </c>
      <c r="L24" s="7"/>
      <c r="M24" s="7"/>
      <c r="N24" s="7"/>
      <c r="O24" s="7"/>
      <c r="P24" s="7"/>
      <c r="Q24" s="7"/>
      <c r="R24" s="7"/>
      <c r="S24" s="70">
        <f>(Table143[[#This Row],[Commercial Bid Price per case for NOI ($)]]-Table143[[#This Row],[Pass-Thru Value per case ($)]])+Table143[[#This Row],[Region 1: Fixed Fee Per Case ($)]]</f>
        <v>0</v>
      </c>
      <c r="T24" s="71" t="e">
        <f>(Table143[[#This Row],[Commercial Bid Price per case for NOI ($)]]+Table143[[#This Row],[Region 1: Fixed Fee Per Case ($)]])/Table143[[#This Row],['# of CN Servings per case]]</f>
        <v>#DIV/0!</v>
      </c>
      <c r="U24" s="71" t="e">
        <f>Table143[[#This Row],[Total Cost Per Serving (O+P)/J]]*Table143[[#This Row],[Estimated Servings Annual]]</f>
        <v>#DIV/0!</v>
      </c>
      <c r="V24" s="70">
        <f>(Table143[[#This Row],[Commercial Bid Price per case for NOI ($)]]-Table143[[#This Row],[Pass-Thru Value per case ($)]])+Table143[[#This Row],[Region 2: Fixed Fee Per Case ($)]]</f>
        <v>0</v>
      </c>
      <c r="W24" s="71" t="e">
        <f>(Table143[[#This Row],[Commercial Bid Price per case for NOI ($)]]+Table143[[#This Row],[Region 2: Fixed Fee Per Case ($)]])/Table143[[#This Row],['# of CN Servings per case]]</f>
        <v>#DIV/0!</v>
      </c>
      <c r="X24" s="72" t="e">
        <f>Table143[[#This Row],[Total Cost Per Serving (O+Q)/J]]*Table143[[#This Row],[Estimated Servings Annual]]</f>
        <v>#DIV/0!</v>
      </c>
    </row>
    <row r="25" spans="1:24" x14ac:dyDescent="0.35">
      <c r="A25" s="30" t="s">
        <v>30</v>
      </c>
      <c r="B25" s="28" t="s">
        <v>92</v>
      </c>
      <c r="C25" s="7" t="s">
        <v>13</v>
      </c>
      <c r="D25" s="7"/>
      <c r="E25" s="7"/>
      <c r="F25" s="7"/>
      <c r="G25" s="7"/>
      <c r="H25" s="7"/>
      <c r="I25" s="7"/>
      <c r="J25" s="7"/>
      <c r="K25" s="49">
        <v>160000</v>
      </c>
      <c r="L25" s="7"/>
      <c r="M25" s="7"/>
      <c r="N25" s="7"/>
      <c r="O25" s="7"/>
      <c r="P25" s="7"/>
      <c r="Q25" s="7"/>
      <c r="R25" s="7"/>
      <c r="S25" s="70">
        <f>(Table143[[#This Row],[Commercial Bid Price per case for NOI ($)]]-Table143[[#This Row],[Pass-Thru Value per case ($)]])+Table143[[#This Row],[Region 1: Fixed Fee Per Case ($)]]</f>
        <v>0</v>
      </c>
      <c r="T25" s="71" t="e">
        <f>(Table143[[#This Row],[Commercial Bid Price per case for NOI ($)]]+Table143[[#This Row],[Region 1: Fixed Fee Per Case ($)]])/Table143[[#This Row],['# of CN Servings per case]]</f>
        <v>#DIV/0!</v>
      </c>
      <c r="U25" s="71" t="e">
        <f>Table143[[#This Row],[Total Cost Per Serving (O+P)/J]]*Table143[[#This Row],[Estimated Servings Annual]]</f>
        <v>#DIV/0!</v>
      </c>
      <c r="V25" s="70">
        <f>(Table143[[#This Row],[Commercial Bid Price per case for NOI ($)]]-Table143[[#This Row],[Pass-Thru Value per case ($)]])+Table143[[#This Row],[Region 2: Fixed Fee Per Case ($)]]</f>
        <v>0</v>
      </c>
      <c r="W25" s="71" t="e">
        <f>(Table143[[#This Row],[Commercial Bid Price per case for NOI ($)]]+Table143[[#This Row],[Region 2: Fixed Fee Per Case ($)]])/Table143[[#This Row],['# of CN Servings per case]]</f>
        <v>#DIV/0!</v>
      </c>
      <c r="X25" s="72" t="e">
        <f>Table143[[#This Row],[Total Cost Per Serving (O+Q)/J]]*Table143[[#This Row],[Estimated Servings Annual]]</f>
        <v>#DIV/0!</v>
      </c>
    </row>
    <row r="26" spans="1:24" ht="15" thickBot="1" x14ac:dyDescent="0.4">
      <c r="A26" s="30" t="s">
        <v>30</v>
      </c>
      <c r="B26" s="41" t="s">
        <v>92</v>
      </c>
      <c r="C26" s="8" t="s">
        <v>13</v>
      </c>
      <c r="D26" s="8"/>
      <c r="E26" s="8"/>
      <c r="F26" s="8"/>
      <c r="G26" s="8"/>
      <c r="H26" s="8"/>
      <c r="I26" s="8"/>
      <c r="J26" s="8"/>
      <c r="K26" s="50">
        <v>160000</v>
      </c>
      <c r="L26" s="8"/>
      <c r="M26" s="8"/>
      <c r="N26" s="8"/>
      <c r="O26" s="8"/>
      <c r="P26" s="8"/>
      <c r="Q26" s="8"/>
      <c r="R26" s="8"/>
      <c r="S26" s="73">
        <f>(Table143[[#This Row],[Commercial Bid Price per case for NOI ($)]]-Table143[[#This Row],[Pass-Thru Value per case ($)]])+Table143[[#This Row],[Region 1: Fixed Fee Per Case ($)]]</f>
        <v>0</v>
      </c>
      <c r="T26" s="74" t="e">
        <f>(Table143[[#This Row],[Commercial Bid Price per case for NOI ($)]]+Table143[[#This Row],[Region 1: Fixed Fee Per Case ($)]])/Table143[[#This Row],['# of CN Servings per case]]</f>
        <v>#DIV/0!</v>
      </c>
      <c r="U26" s="74" t="e">
        <f>Table143[[#This Row],[Total Cost Per Serving (O+P)/J]]*Table143[[#This Row],[Estimated Servings Annual]]</f>
        <v>#DIV/0!</v>
      </c>
      <c r="V26" s="73">
        <f>(Table143[[#This Row],[Commercial Bid Price per case for NOI ($)]]-Table143[[#This Row],[Pass-Thru Value per case ($)]])+Table143[[#This Row],[Region 2: Fixed Fee Per Case ($)]]</f>
        <v>0</v>
      </c>
      <c r="W26" s="74" t="e">
        <f>(Table143[[#This Row],[Commercial Bid Price per case for NOI ($)]]+Table143[[#This Row],[Region 2: Fixed Fee Per Case ($)]])/Table143[[#This Row],['# of CN Servings per case]]</f>
        <v>#DIV/0!</v>
      </c>
      <c r="X26" s="75" t="e">
        <f>Table143[[#This Row],[Total Cost Per Serving (O+Q)/J]]*Table143[[#This Row],[Estimated Servings Annual]]</f>
        <v>#DIV/0!</v>
      </c>
    </row>
    <row r="27" spans="1:24" x14ac:dyDescent="0.35">
      <c r="A27" s="30" t="s">
        <v>30</v>
      </c>
      <c r="B27" s="42" t="s">
        <v>93</v>
      </c>
      <c r="C27" s="6" t="s">
        <v>61</v>
      </c>
      <c r="D27" s="6"/>
      <c r="E27" s="6"/>
      <c r="F27" s="6"/>
      <c r="G27" s="6"/>
      <c r="H27" s="6"/>
      <c r="I27" s="6"/>
      <c r="J27" s="6"/>
      <c r="K27" s="48">
        <v>550000</v>
      </c>
      <c r="L27" s="6"/>
      <c r="M27" s="6"/>
      <c r="N27" s="6"/>
      <c r="O27" s="6"/>
      <c r="P27" s="6"/>
      <c r="Q27" s="6"/>
      <c r="R27" s="6"/>
      <c r="S27" s="67">
        <f>(Table143[[#This Row],[Commercial Bid Price per case for NOI ($)]]-Table143[[#This Row],[Pass-Thru Value per case ($)]])+Table143[[#This Row],[Region 1: Fixed Fee Per Case ($)]]</f>
        <v>0</v>
      </c>
      <c r="T27" s="68" t="e">
        <f>(Table143[[#This Row],[Commercial Bid Price per case for NOI ($)]]+Table143[[#This Row],[Region 1: Fixed Fee Per Case ($)]])/Table143[[#This Row],['# of CN Servings per case]]</f>
        <v>#DIV/0!</v>
      </c>
      <c r="U27" s="68" t="e">
        <f>Table143[[#This Row],[Total Cost Per Serving (O+P)/J]]*Table143[[#This Row],[Estimated Servings Annual]]</f>
        <v>#DIV/0!</v>
      </c>
      <c r="V27" s="67">
        <f>(Table143[[#This Row],[Commercial Bid Price per case for NOI ($)]]-Table143[[#This Row],[Pass-Thru Value per case ($)]])+Table143[[#This Row],[Region 2: Fixed Fee Per Case ($)]]</f>
        <v>0</v>
      </c>
      <c r="W27" s="68" t="e">
        <f>(Table143[[#This Row],[Commercial Bid Price per case for NOI ($)]]+Table143[[#This Row],[Region 2: Fixed Fee Per Case ($)]])/Table143[[#This Row],['# of CN Servings per case]]</f>
        <v>#DIV/0!</v>
      </c>
      <c r="X27" s="69" t="e">
        <f>Table143[[#This Row],[Total Cost Per Serving (O+Q)/J]]*Table143[[#This Row],[Estimated Servings Annual]]</f>
        <v>#DIV/0!</v>
      </c>
    </row>
    <row r="28" spans="1:24" x14ac:dyDescent="0.35">
      <c r="A28" s="30" t="s">
        <v>30</v>
      </c>
      <c r="B28" s="28" t="s">
        <v>93</v>
      </c>
      <c r="C28" s="7" t="s">
        <v>61</v>
      </c>
      <c r="D28" s="7"/>
      <c r="E28" s="7"/>
      <c r="F28" s="7"/>
      <c r="G28" s="7"/>
      <c r="H28" s="7"/>
      <c r="I28" s="7"/>
      <c r="J28" s="7"/>
      <c r="K28" s="49">
        <v>550000</v>
      </c>
      <c r="L28" s="7"/>
      <c r="M28" s="7"/>
      <c r="N28" s="7"/>
      <c r="O28" s="7"/>
      <c r="P28" s="7"/>
      <c r="Q28" s="7"/>
      <c r="R28" s="7"/>
      <c r="S28" s="70">
        <f>(Table143[[#This Row],[Commercial Bid Price per case for NOI ($)]]-Table143[[#This Row],[Pass-Thru Value per case ($)]])+Table143[[#This Row],[Region 1: Fixed Fee Per Case ($)]]</f>
        <v>0</v>
      </c>
      <c r="T28" s="71" t="e">
        <f>(Table143[[#This Row],[Commercial Bid Price per case for NOI ($)]]+Table143[[#This Row],[Region 1: Fixed Fee Per Case ($)]])/Table143[[#This Row],['# of CN Servings per case]]</f>
        <v>#DIV/0!</v>
      </c>
      <c r="U28" s="71" t="e">
        <f>Table143[[#This Row],[Total Cost Per Serving (O+P)/J]]*Table143[[#This Row],[Estimated Servings Annual]]</f>
        <v>#DIV/0!</v>
      </c>
      <c r="V28" s="70">
        <f>(Table143[[#This Row],[Commercial Bid Price per case for NOI ($)]]-Table143[[#This Row],[Pass-Thru Value per case ($)]])+Table143[[#This Row],[Region 2: Fixed Fee Per Case ($)]]</f>
        <v>0</v>
      </c>
      <c r="W28" s="71" t="e">
        <f>(Table143[[#This Row],[Commercial Bid Price per case for NOI ($)]]+Table143[[#This Row],[Region 2: Fixed Fee Per Case ($)]])/Table143[[#This Row],['# of CN Servings per case]]</f>
        <v>#DIV/0!</v>
      </c>
      <c r="X28" s="72" t="e">
        <f>Table143[[#This Row],[Total Cost Per Serving (O+Q)/J]]*Table143[[#This Row],[Estimated Servings Annual]]</f>
        <v>#DIV/0!</v>
      </c>
    </row>
    <row r="29" spans="1:24" x14ac:dyDescent="0.35">
      <c r="A29" s="30" t="s">
        <v>30</v>
      </c>
      <c r="B29" s="28" t="s">
        <v>93</v>
      </c>
      <c r="C29" s="7" t="s">
        <v>50</v>
      </c>
      <c r="D29" s="7"/>
      <c r="E29" s="7"/>
      <c r="F29" s="7"/>
      <c r="G29" s="7"/>
      <c r="H29" s="7"/>
      <c r="I29" s="7"/>
      <c r="J29" s="7"/>
      <c r="K29" s="49">
        <v>550000</v>
      </c>
      <c r="L29" s="7"/>
      <c r="M29" s="7"/>
      <c r="N29" s="7"/>
      <c r="O29" s="7"/>
      <c r="P29" s="7"/>
      <c r="Q29" s="7"/>
      <c r="R29" s="7"/>
      <c r="S29" s="70">
        <f>(Table143[[#This Row],[Commercial Bid Price per case for NOI ($)]]-Table143[[#This Row],[Pass-Thru Value per case ($)]])+Table143[[#This Row],[Region 1: Fixed Fee Per Case ($)]]</f>
        <v>0</v>
      </c>
      <c r="T29" s="71" t="e">
        <f>(Table143[[#This Row],[Commercial Bid Price per case for NOI ($)]]+Table143[[#This Row],[Region 1: Fixed Fee Per Case ($)]])/Table143[[#This Row],['# of CN Servings per case]]</f>
        <v>#DIV/0!</v>
      </c>
      <c r="U29" s="71" t="e">
        <f>Table143[[#This Row],[Total Cost Per Serving (O+P)/J]]*Table143[[#This Row],[Estimated Servings Annual]]</f>
        <v>#DIV/0!</v>
      </c>
      <c r="V29" s="70">
        <f>(Table143[[#This Row],[Commercial Bid Price per case for NOI ($)]]-Table143[[#This Row],[Pass-Thru Value per case ($)]])+Table143[[#This Row],[Region 2: Fixed Fee Per Case ($)]]</f>
        <v>0</v>
      </c>
      <c r="W29" s="71" t="e">
        <f>(Table143[[#This Row],[Commercial Bid Price per case for NOI ($)]]+Table143[[#This Row],[Region 2: Fixed Fee Per Case ($)]])/Table143[[#This Row],['# of CN Servings per case]]</f>
        <v>#DIV/0!</v>
      </c>
      <c r="X29" s="72" t="e">
        <f>Table143[[#This Row],[Total Cost Per Serving (O+Q)/J]]*Table143[[#This Row],[Estimated Servings Annual]]</f>
        <v>#DIV/0!</v>
      </c>
    </row>
    <row r="30" spans="1:24" x14ac:dyDescent="0.35">
      <c r="A30" s="30" t="s">
        <v>30</v>
      </c>
      <c r="B30" s="28" t="s">
        <v>93</v>
      </c>
      <c r="C30" s="7" t="s">
        <v>50</v>
      </c>
      <c r="D30" s="7"/>
      <c r="E30" s="7"/>
      <c r="F30" s="7"/>
      <c r="G30" s="7"/>
      <c r="H30" s="7"/>
      <c r="I30" s="7"/>
      <c r="J30" s="7"/>
      <c r="K30" s="49">
        <v>550000</v>
      </c>
      <c r="L30" s="7"/>
      <c r="M30" s="7"/>
      <c r="N30" s="7"/>
      <c r="O30" s="7"/>
      <c r="P30" s="7"/>
      <c r="Q30" s="7"/>
      <c r="R30" s="7"/>
      <c r="S30" s="70">
        <f>(Table143[[#This Row],[Commercial Bid Price per case for NOI ($)]]-Table143[[#This Row],[Pass-Thru Value per case ($)]])+Table143[[#This Row],[Region 1: Fixed Fee Per Case ($)]]</f>
        <v>0</v>
      </c>
      <c r="T30" s="71" t="e">
        <f>(Table143[[#This Row],[Commercial Bid Price per case for NOI ($)]]+Table143[[#This Row],[Region 1: Fixed Fee Per Case ($)]])/Table143[[#This Row],['# of CN Servings per case]]</f>
        <v>#DIV/0!</v>
      </c>
      <c r="U30" s="71" t="e">
        <f>Table143[[#This Row],[Total Cost Per Serving (O+P)/J]]*Table143[[#This Row],[Estimated Servings Annual]]</f>
        <v>#DIV/0!</v>
      </c>
      <c r="V30" s="70">
        <f>(Table143[[#This Row],[Commercial Bid Price per case for NOI ($)]]-Table143[[#This Row],[Pass-Thru Value per case ($)]])+Table143[[#This Row],[Region 2: Fixed Fee Per Case ($)]]</f>
        <v>0</v>
      </c>
      <c r="W30" s="71" t="e">
        <f>(Table143[[#This Row],[Commercial Bid Price per case for NOI ($)]]+Table143[[#This Row],[Region 2: Fixed Fee Per Case ($)]])/Table143[[#This Row],['# of CN Servings per case]]</f>
        <v>#DIV/0!</v>
      </c>
      <c r="X30" s="72" t="e">
        <f>Table143[[#This Row],[Total Cost Per Serving (O+Q)/J]]*Table143[[#This Row],[Estimated Servings Annual]]</f>
        <v>#DIV/0!</v>
      </c>
    </row>
    <row r="31" spans="1:24" x14ac:dyDescent="0.35">
      <c r="A31" s="30" t="s">
        <v>30</v>
      </c>
      <c r="B31" s="28" t="s">
        <v>93</v>
      </c>
      <c r="C31" s="7" t="s">
        <v>13</v>
      </c>
      <c r="D31" s="7"/>
      <c r="E31" s="7"/>
      <c r="F31" s="7"/>
      <c r="G31" s="7"/>
      <c r="H31" s="7"/>
      <c r="I31" s="7"/>
      <c r="J31" s="7"/>
      <c r="K31" s="49">
        <v>550000</v>
      </c>
      <c r="L31" s="7"/>
      <c r="M31" s="7"/>
      <c r="N31" s="7"/>
      <c r="O31" s="7"/>
      <c r="P31" s="7"/>
      <c r="Q31" s="7"/>
      <c r="R31" s="7"/>
      <c r="S31" s="70">
        <f>(Table143[[#This Row],[Commercial Bid Price per case for NOI ($)]]-Table143[[#This Row],[Pass-Thru Value per case ($)]])+Table143[[#This Row],[Region 1: Fixed Fee Per Case ($)]]</f>
        <v>0</v>
      </c>
      <c r="T31" s="71" t="e">
        <f>(Table143[[#This Row],[Commercial Bid Price per case for NOI ($)]]+Table143[[#This Row],[Region 1: Fixed Fee Per Case ($)]])/Table143[[#This Row],['# of CN Servings per case]]</f>
        <v>#DIV/0!</v>
      </c>
      <c r="U31" s="71" t="e">
        <f>Table143[[#This Row],[Total Cost Per Serving (O+P)/J]]*Table143[[#This Row],[Estimated Servings Annual]]</f>
        <v>#DIV/0!</v>
      </c>
      <c r="V31" s="70">
        <f>(Table143[[#This Row],[Commercial Bid Price per case for NOI ($)]]-Table143[[#This Row],[Pass-Thru Value per case ($)]])+Table143[[#This Row],[Region 2: Fixed Fee Per Case ($)]]</f>
        <v>0</v>
      </c>
      <c r="W31" s="71" t="e">
        <f>(Table143[[#This Row],[Commercial Bid Price per case for NOI ($)]]+Table143[[#This Row],[Region 2: Fixed Fee Per Case ($)]])/Table143[[#This Row],['# of CN Servings per case]]</f>
        <v>#DIV/0!</v>
      </c>
      <c r="X31" s="72" t="e">
        <f>Table143[[#This Row],[Total Cost Per Serving (O+Q)/J]]*Table143[[#This Row],[Estimated Servings Annual]]</f>
        <v>#DIV/0!</v>
      </c>
    </row>
    <row r="32" spans="1:24" x14ac:dyDescent="0.35">
      <c r="A32" s="30" t="s">
        <v>30</v>
      </c>
      <c r="B32" s="28" t="s">
        <v>93</v>
      </c>
      <c r="C32" s="7" t="s">
        <v>13</v>
      </c>
      <c r="D32" s="7"/>
      <c r="E32" s="7"/>
      <c r="F32" s="7"/>
      <c r="G32" s="7"/>
      <c r="H32" s="7"/>
      <c r="I32" s="7"/>
      <c r="J32" s="7"/>
      <c r="K32" s="49">
        <v>550000</v>
      </c>
      <c r="L32" s="7"/>
      <c r="M32" s="7"/>
      <c r="N32" s="7"/>
      <c r="O32" s="7"/>
      <c r="P32" s="7"/>
      <c r="Q32" s="7"/>
      <c r="R32" s="7"/>
      <c r="S32" s="70">
        <f>(Table143[[#This Row],[Commercial Bid Price per case for NOI ($)]]-Table143[[#This Row],[Pass-Thru Value per case ($)]])+Table143[[#This Row],[Region 1: Fixed Fee Per Case ($)]]</f>
        <v>0</v>
      </c>
      <c r="T32" s="71" t="e">
        <f>(Table143[[#This Row],[Commercial Bid Price per case for NOI ($)]]+Table143[[#This Row],[Region 1: Fixed Fee Per Case ($)]])/Table143[[#This Row],['# of CN Servings per case]]</f>
        <v>#DIV/0!</v>
      </c>
      <c r="U32" s="71" t="e">
        <f>Table143[[#This Row],[Total Cost Per Serving (O+P)/J]]*Table143[[#This Row],[Estimated Servings Annual]]</f>
        <v>#DIV/0!</v>
      </c>
      <c r="V32" s="70">
        <f>(Table143[[#This Row],[Commercial Bid Price per case for NOI ($)]]-Table143[[#This Row],[Pass-Thru Value per case ($)]])+Table143[[#This Row],[Region 2: Fixed Fee Per Case ($)]]</f>
        <v>0</v>
      </c>
      <c r="W32" s="71" t="e">
        <f>(Table143[[#This Row],[Commercial Bid Price per case for NOI ($)]]+Table143[[#This Row],[Region 2: Fixed Fee Per Case ($)]])/Table143[[#This Row],['# of CN Servings per case]]</f>
        <v>#DIV/0!</v>
      </c>
      <c r="X32" s="72" t="e">
        <f>Table143[[#This Row],[Total Cost Per Serving (O+Q)/J]]*Table143[[#This Row],[Estimated Servings Annual]]</f>
        <v>#DIV/0!</v>
      </c>
    </row>
    <row r="33" spans="1:24" x14ac:dyDescent="0.35">
      <c r="A33" s="30" t="s">
        <v>30</v>
      </c>
      <c r="B33" s="28" t="s">
        <v>93</v>
      </c>
      <c r="C33" s="7" t="s">
        <v>13</v>
      </c>
      <c r="D33" s="7"/>
      <c r="E33" s="7"/>
      <c r="F33" s="7"/>
      <c r="G33" s="7"/>
      <c r="H33" s="7"/>
      <c r="I33" s="7"/>
      <c r="J33" s="7"/>
      <c r="K33" s="49">
        <v>550000</v>
      </c>
      <c r="L33" s="7"/>
      <c r="M33" s="7"/>
      <c r="N33" s="7"/>
      <c r="O33" s="7"/>
      <c r="P33" s="7"/>
      <c r="Q33" s="7"/>
      <c r="R33" s="7"/>
      <c r="S33" s="70">
        <f>(Table143[[#This Row],[Commercial Bid Price per case for NOI ($)]]-Table143[[#This Row],[Pass-Thru Value per case ($)]])+Table143[[#This Row],[Region 1: Fixed Fee Per Case ($)]]</f>
        <v>0</v>
      </c>
      <c r="T33" s="71" t="e">
        <f>(Table143[[#This Row],[Commercial Bid Price per case for NOI ($)]]+Table143[[#This Row],[Region 1: Fixed Fee Per Case ($)]])/Table143[[#This Row],['# of CN Servings per case]]</f>
        <v>#DIV/0!</v>
      </c>
      <c r="U33" s="71" t="e">
        <f>Table143[[#This Row],[Total Cost Per Serving (O+P)/J]]*Table143[[#This Row],[Estimated Servings Annual]]</f>
        <v>#DIV/0!</v>
      </c>
      <c r="V33" s="70">
        <f>(Table143[[#This Row],[Commercial Bid Price per case for NOI ($)]]-Table143[[#This Row],[Pass-Thru Value per case ($)]])+Table143[[#This Row],[Region 2: Fixed Fee Per Case ($)]]</f>
        <v>0</v>
      </c>
      <c r="W33" s="71" t="e">
        <f>(Table143[[#This Row],[Commercial Bid Price per case for NOI ($)]]+Table143[[#This Row],[Region 2: Fixed Fee Per Case ($)]])/Table143[[#This Row],['# of CN Servings per case]]</f>
        <v>#DIV/0!</v>
      </c>
      <c r="X33" s="72" t="e">
        <f>Table143[[#This Row],[Total Cost Per Serving (O+Q)/J]]*Table143[[#This Row],[Estimated Servings Annual]]</f>
        <v>#DIV/0!</v>
      </c>
    </row>
    <row r="34" spans="1:24" ht="15" thickBot="1" x14ac:dyDescent="0.4">
      <c r="A34" s="30" t="s">
        <v>30</v>
      </c>
      <c r="B34" s="41" t="s">
        <v>93</v>
      </c>
      <c r="C34" s="8" t="s">
        <v>13</v>
      </c>
      <c r="D34" s="8"/>
      <c r="E34" s="8"/>
      <c r="F34" s="8"/>
      <c r="G34" s="8"/>
      <c r="H34" s="8"/>
      <c r="I34" s="8"/>
      <c r="J34" s="8"/>
      <c r="K34" s="50">
        <v>550000</v>
      </c>
      <c r="L34" s="8"/>
      <c r="M34" s="8"/>
      <c r="N34" s="8"/>
      <c r="O34" s="8"/>
      <c r="P34" s="8"/>
      <c r="Q34" s="8"/>
      <c r="R34" s="8"/>
      <c r="S34" s="73">
        <f>(Table143[[#This Row],[Commercial Bid Price per case for NOI ($)]]-Table143[[#This Row],[Pass-Thru Value per case ($)]])+Table143[[#This Row],[Region 1: Fixed Fee Per Case ($)]]</f>
        <v>0</v>
      </c>
      <c r="T34" s="74" t="e">
        <f>(Table143[[#This Row],[Commercial Bid Price per case for NOI ($)]]+Table143[[#This Row],[Region 1: Fixed Fee Per Case ($)]])/Table143[[#This Row],['# of CN Servings per case]]</f>
        <v>#DIV/0!</v>
      </c>
      <c r="U34" s="74" t="e">
        <f>Table143[[#This Row],[Total Cost Per Serving (O+P)/J]]*Table143[[#This Row],[Estimated Servings Annual]]</f>
        <v>#DIV/0!</v>
      </c>
      <c r="V34" s="73">
        <f>(Table143[[#This Row],[Commercial Bid Price per case for NOI ($)]]-Table143[[#This Row],[Pass-Thru Value per case ($)]])+Table143[[#This Row],[Region 2: Fixed Fee Per Case ($)]]</f>
        <v>0</v>
      </c>
      <c r="W34" s="74" t="e">
        <f>(Table143[[#This Row],[Commercial Bid Price per case for NOI ($)]]+Table143[[#This Row],[Region 2: Fixed Fee Per Case ($)]])/Table143[[#This Row],['# of CN Servings per case]]</f>
        <v>#DIV/0!</v>
      </c>
      <c r="X34" s="75" t="e">
        <f>Table143[[#This Row],[Total Cost Per Serving (O+Q)/J]]*Table143[[#This Row],[Estimated Servings Annual]]</f>
        <v>#DIV/0!</v>
      </c>
    </row>
    <row r="35" spans="1:24" ht="29" x14ac:dyDescent="0.35">
      <c r="A35" s="30" t="s">
        <v>30</v>
      </c>
      <c r="B35" s="43" t="s">
        <v>94</v>
      </c>
      <c r="C35" s="6" t="s">
        <v>61</v>
      </c>
      <c r="D35" s="6"/>
      <c r="E35" s="6"/>
      <c r="F35" s="6"/>
      <c r="G35" s="6"/>
      <c r="H35" s="6"/>
      <c r="I35" s="6"/>
      <c r="J35" s="6"/>
      <c r="K35" s="48">
        <v>100000</v>
      </c>
      <c r="L35" s="6"/>
      <c r="M35" s="6"/>
      <c r="N35" s="6"/>
      <c r="O35" s="6"/>
      <c r="P35" s="6"/>
      <c r="Q35" s="6"/>
      <c r="R35" s="6"/>
      <c r="S35" s="67">
        <f>(Table143[[#This Row],[Commercial Bid Price per case for NOI ($)]]-Table143[[#This Row],[Pass-Thru Value per case ($)]])+Table143[[#This Row],[Region 1: Fixed Fee Per Case ($)]]</f>
        <v>0</v>
      </c>
      <c r="T35" s="76" t="e">
        <f>(Table143[[#This Row],[Commercial Bid Price per case for NOI ($)]]+Table143[[#This Row],[Region 1: Fixed Fee Per Case ($)]])/Table143[[#This Row],['# of CN Servings per case]]</f>
        <v>#DIV/0!</v>
      </c>
      <c r="U35" s="68" t="e">
        <f>Table143[[#This Row],[Total Cost Per Serving (O+P)/J]]*Table143[[#This Row],[Estimated Servings Annual]]</f>
        <v>#DIV/0!</v>
      </c>
      <c r="V35" s="67">
        <f>(Table143[[#This Row],[Commercial Bid Price per case for NOI ($)]]-Table143[[#This Row],[Pass-Thru Value per case ($)]])+Table143[[#This Row],[Region 2: Fixed Fee Per Case ($)]]</f>
        <v>0</v>
      </c>
      <c r="W35" s="76" t="e">
        <f>(Table143[[#This Row],[Commercial Bid Price per case for NOI ($)]]+Table143[[#This Row],[Region 2: Fixed Fee Per Case ($)]])/Table143[[#This Row],['# of CN Servings per case]]</f>
        <v>#DIV/0!</v>
      </c>
      <c r="X35" s="69" t="e">
        <f>Table143[[#This Row],[Total Cost Per Serving (O+Q)/J]]*Table143[[#This Row],[Estimated Servings Annual]]</f>
        <v>#DIV/0!</v>
      </c>
    </row>
    <row r="36" spans="1:24" ht="29" x14ac:dyDescent="0.35">
      <c r="A36" s="30" t="s">
        <v>30</v>
      </c>
      <c r="B36" s="44" t="s">
        <v>94</v>
      </c>
      <c r="C36" s="7" t="s">
        <v>61</v>
      </c>
      <c r="D36" s="7"/>
      <c r="E36" s="7"/>
      <c r="F36" s="7"/>
      <c r="G36" s="7"/>
      <c r="H36" s="7"/>
      <c r="I36" s="7"/>
      <c r="J36" s="7"/>
      <c r="K36" s="49">
        <v>100000</v>
      </c>
      <c r="L36" s="7"/>
      <c r="M36" s="7"/>
      <c r="N36" s="7"/>
      <c r="O36" s="7"/>
      <c r="P36" s="7"/>
      <c r="Q36" s="7"/>
      <c r="R36" s="7"/>
      <c r="S36" s="70">
        <f>(Table143[[#This Row],[Commercial Bid Price per case for NOI ($)]]-Table143[[#This Row],[Pass-Thru Value per case ($)]])+Table143[[#This Row],[Region 1: Fixed Fee Per Case ($)]]</f>
        <v>0</v>
      </c>
      <c r="T36" s="77" t="e">
        <f>(Table143[[#This Row],[Commercial Bid Price per case for NOI ($)]]+Table143[[#This Row],[Region 1: Fixed Fee Per Case ($)]])/Table143[[#This Row],['# of CN Servings per case]]</f>
        <v>#DIV/0!</v>
      </c>
      <c r="U36" s="71" t="e">
        <f>Table143[[#This Row],[Total Cost Per Serving (O+P)/J]]*Table143[[#This Row],[Estimated Servings Annual]]</f>
        <v>#DIV/0!</v>
      </c>
      <c r="V36" s="70">
        <f>(Table143[[#This Row],[Commercial Bid Price per case for NOI ($)]]-Table143[[#This Row],[Pass-Thru Value per case ($)]])+Table143[[#This Row],[Region 2: Fixed Fee Per Case ($)]]</f>
        <v>0</v>
      </c>
      <c r="W36" s="77" t="e">
        <f>(Table143[[#This Row],[Commercial Bid Price per case for NOI ($)]]+Table143[[#This Row],[Region 2: Fixed Fee Per Case ($)]])/Table143[[#This Row],['# of CN Servings per case]]</f>
        <v>#DIV/0!</v>
      </c>
      <c r="X36" s="72" t="e">
        <f>Table143[[#This Row],[Total Cost Per Serving (O+Q)/J]]*Table143[[#This Row],[Estimated Servings Annual]]</f>
        <v>#DIV/0!</v>
      </c>
    </row>
    <row r="37" spans="1:24" ht="29" x14ac:dyDescent="0.35">
      <c r="A37" s="30" t="s">
        <v>30</v>
      </c>
      <c r="B37" s="44" t="s">
        <v>94</v>
      </c>
      <c r="C37" s="7" t="s">
        <v>50</v>
      </c>
      <c r="D37" s="7"/>
      <c r="E37" s="7"/>
      <c r="F37" s="7"/>
      <c r="G37" s="7"/>
      <c r="H37" s="7"/>
      <c r="I37" s="7"/>
      <c r="J37" s="7"/>
      <c r="K37" s="49">
        <v>100000</v>
      </c>
      <c r="L37" s="7"/>
      <c r="M37" s="7"/>
      <c r="N37" s="7"/>
      <c r="O37" s="7"/>
      <c r="P37" s="7"/>
      <c r="Q37" s="7"/>
      <c r="R37" s="7"/>
      <c r="S37" s="70">
        <f>(Table143[[#This Row],[Commercial Bid Price per case for NOI ($)]]-Table143[[#This Row],[Pass-Thru Value per case ($)]])+Table143[[#This Row],[Region 1: Fixed Fee Per Case ($)]]</f>
        <v>0</v>
      </c>
      <c r="T37" s="77" t="e">
        <f>(Table143[[#This Row],[Commercial Bid Price per case for NOI ($)]]+Table143[[#This Row],[Region 1: Fixed Fee Per Case ($)]])/Table143[[#This Row],['# of CN Servings per case]]</f>
        <v>#DIV/0!</v>
      </c>
      <c r="U37" s="71" t="e">
        <f>Table143[[#This Row],[Total Cost Per Serving (O+P)/J]]*Table143[[#This Row],[Estimated Servings Annual]]</f>
        <v>#DIV/0!</v>
      </c>
      <c r="V37" s="70">
        <f>(Table143[[#This Row],[Commercial Bid Price per case for NOI ($)]]-Table143[[#This Row],[Pass-Thru Value per case ($)]])+Table143[[#This Row],[Region 2: Fixed Fee Per Case ($)]]</f>
        <v>0</v>
      </c>
      <c r="W37" s="77" t="e">
        <f>(Table143[[#This Row],[Commercial Bid Price per case for NOI ($)]]+Table143[[#This Row],[Region 2: Fixed Fee Per Case ($)]])/Table143[[#This Row],['# of CN Servings per case]]</f>
        <v>#DIV/0!</v>
      </c>
      <c r="X37" s="72" t="e">
        <f>Table143[[#This Row],[Total Cost Per Serving (O+Q)/J]]*Table143[[#This Row],[Estimated Servings Annual]]</f>
        <v>#DIV/0!</v>
      </c>
    </row>
    <row r="38" spans="1:24" ht="29" x14ac:dyDescent="0.35">
      <c r="A38" s="30" t="s">
        <v>30</v>
      </c>
      <c r="B38" s="44" t="s">
        <v>94</v>
      </c>
      <c r="C38" s="7" t="s">
        <v>50</v>
      </c>
      <c r="D38" s="7"/>
      <c r="E38" s="7"/>
      <c r="F38" s="7"/>
      <c r="G38" s="7"/>
      <c r="H38" s="7"/>
      <c r="I38" s="7"/>
      <c r="J38" s="7"/>
      <c r="K38" s="49">
        <v>100000</v>
      </c>
      <c r="L38" s="7"/>
      <c r="M38" s="7"/>
      <c r="N38" s="7"/>
      <c r="O38" s="7"/>
      <c r="P38" s="7"/>
      <c r="Q38" s="7"/>
      <c r="R38" s="7"/>
      <c r="S38" s="70">
        <f>(Table143[[#This Row],[Commercial Bid Price per case for NOI ($)]]-Table143[[#This Row],[Pass-Thru Value per case ($)]])+Table143[[#This Row],[Region 1: Fixed Fee Per Case ($)]]</f>
        <v>0</v>
      </c>
      <c r="T38" s="77" t="e">
        <f>(Table143[[#This Row],[Commercial Bid Price per case for NOI ($)]]+Table143[[#This Row],[Region 1: Fixed Fee Per Case ($)]])/Table143[[#This Row],['# of CN Servings per case]]</f>
        <v>#DIV/0!</v>
      </c>
      <c r="U38" s="71" t="e">
        <f>Table143[[#This Row],[Total Cost Per Serving (O+P)/J]]*Table143[[#This Row],[Estimated Servings Annual]]</f>
        <v>#DIV/0!</v>
      </c>
      <c r="V38" s="70">
        <f>(Table143[[#This Row],[Commercial Bid Price per case for NOI ($)]]-Table143[[#This Row],[Pass-Thru Value per case ($)]])+Table143[[#This Row],[Region 2: Fixed Fee Per Case ($)]]</f>
        <v>0</v>
      </c>
      <c r="W38" s="77" t="e">
        <f>(Table143[[#This Row],[Commercial Bid Price per case for NOI ($)]]+Table143[[#This Row],[Region 2: Fixed Fee Per Case ($)]])/Table143[[#This Row],['# of CN Servings per case]]</f>
        <v>#DIV/0!</v>
      </c>
      <c r="X38" s="72" t="e">
        <f>Table143[[#This Row],[Total Cost Per Serving (O+Q)/J]]*Table143[[#This Row],[Estimated Servings Annual]]</f>
        <v>#DIV/0!</v>
      </c>
    </row>
    <row r="39" spans="1:24" ht="29" x14ac:dyDescent="0.35">
      <c r="A39" s="30" t="s">
        <v>30</v>
      </c>
      <c r="B39" s="44" t="s">
        <v>94</v>
      </c>
      <c r="C39" s="7" t="s">
        <v>13</v>
      </c>
      <c r="D39" s="7"/>
      <c r="E39" s="7"/>
      <c r="F39" s="7"/>
      <c r="G39" s="7"/>
      <c r="H39" s="7"/>
      <c r="I39" s="7"/>
      <c r="J39" s="7"/>
      <c r="K39" s="49">
        <v>100000</v>
      </c>
      <c r="L39" s="7"/>
      <c r="M39" s="7"/>
      <c r="N39" s="7"/>
      <c r="O39" s="7"/>
      <c r="P39" s="7"/>
      <c r="Q39" s="7"/>
      <c r="R39" s="7"/>
      <c r="S39" s="70">
        <f>(Table143[[#This Row],[Commercial Bid Price per case for NOI ($)]]-Table143[[#This Row],[Pass-Thru Value per case ($)]])+Table143[[#This Row],[Region 1: Fixed Fee Per Case ($)]]</f>
        <v>0</v>
      </c>
      <c r="T39" s="77" t="e">
        <f>(Table143[[#This Row],[Commercial Bid Price per case for NOI ($)]]+Table143[[#This Row],[Region 1: Fixed Fee Per Case ($)]])/Table143[[#This Row],['# of CN Servings per case]]</f>
        <v>#DIV/0!</v>
      </c>
      <c r="U39" s="71" t="e">
        <f>Table143[[#This Row],[Total Cost Per Serving (O+P)/J]]*Table143[[#This Row],[Estimated Servings Annual]]</f>
        <v>#DIV/0!</v>
      </c>
      <c r="V39" s="70">
        <f>(Table143[[#This Row],[Commercial Bid Price per case for NOI ($)]]-Table143[[#This Row],[Pass-Thru Value per case ($)]])+Table143[[#This Row],[Region 2: Fixed Fee Per Case ($)]]</f>
        <v>0</v>
      </c>
      <c r="W39" s="77" t="e">
        <f>(Table143[[#This Row],[Commercial Bid Price per case for NOI ($)]]+Table143[[#This Row],[Region 2: Fixed Fee Per Case ($)]])/Table143[[#This Row],['# of CN Servings per case]]</f>
        <v>#DIV/0!</v>
      </c>
      <c r="X39" s="72" t="e">
        <f>Table143[[#This Row],[Total Cost Per Serving (O+Q)/J]]*Table143[[#This Row],[Estimated Servings Annual]]</f>
        <v>#DIV/0!</v>
      </c>
    </row>
    <row r="40" spans="1:24" ht="29" x14ac:dyDescent="0.35">
      <c r="A40" s="30" t="s">
        <v>30</v>
      </c>
      <c r="B40" s="44" t="s">
        <v>94</v>
      </c>
      <c r="C40" s="7" t="s">
        <v>13</v>
      </c>
      <c r="D40" s="7"/>
      <c r="E40" s="7"/>
      <c r="F40" s="7"/>
      <c r="G40" s="7"/>
      <c r="H40" s="7"/>
      <c r="I40" s="7"/>
      <c r="J40" s="7"/>
      <c r="K40" s="49">
        <v>100000</v>
      </c>
      <c r="L40" s="7"/>
      <c r="M40" s="7"/>
      <c r="N40" s="7"/>
      <c r="O40" s="7"/>
      <c r="P40" s="7"/>
      <c r="Q40" s="7"/>
      <c r="R40" s="7"/>
      <c r="S40" s="70">
        <f>(Table143[[#This Row],[Commercial Bid Price per case for NOI ($)]]-Table143[[#This Row],[Pass-Thru Value per case ($)]])+Table143[[#This Row],[Region 1: Fixed Fee Per Case ($)]]</f>
        <v>0</v>
      </c>
      <c r="T40" s="77" t="e">
        <f>(Table143[[#This Row],[Commercial Bid Price per case for NOI ($)]]+Table143[[#This Row],[Region 1: Fixed Fee Per Case ($)]])/Table143[[#This Row],['# of CN Servings per case]]</f>
        <v>#DIV/0!</v>
      </c>
      <c r="U40" s="71" t="e">
        <f>Table143[[#This Row],[Total Cost Per Serving (O+P)/J]]*Table143[[#This Row],[Estimated Servings Annual]]</f>
        <v>#DIV/0!</v>
      </c>
      <c r="V40" s="70">
        <f>(Table143[[#This Row],[Commercial Bid Price per case for NOI ($)]]-Table143[[#This Row],[Pass-Thru Value per case ($)]])+Table143[[#This Row],[Region 2: Fixed Fee Per Case ($)]]</f>
        <v>0</v>
      </c>
      <c r="W40" s="77" t="e">
        <f>(Table143[[#This Row],[Commercial Bid Price per case for NOI ($)]]+Table143[[#This Row],[Region 2: Fixed Fee Per Case ($)]])/Table143[[#This Row],['# of CN Servings per case]]</f>
        <v>#DIV/0!</v>
      </c>
      <c r="X40" s="72" t="e">
        <f>Table143[[#This Row],[Total Cost Per Serving (O+Q)/J]]*Table143[[#This Row],[Estimated Servings Annual]]</f>
        <v>#DIV/0!</v>
      </c>
    </row>
    <row r="41" spans="1:24" ht="29" x14ac:dyDescent="0.35">
      <c r="A41" s="30" t="s">
        <v>30</v>
      </c>
      <c r="B41" s="44" t="s">
        <v>94</v>
      </c>
      <c r="C41" s="7" t="s">
        <v>13</v>
      </c>
      <c r="D41" s="7"/>
      <c r="E41" s="7"/>
      <c r="F41" s="7"/>
      <c r="G41" s="7"/>
      <c r="H41" s="7"/>
      <c r="I41" s="7"/>
      <c r="J41" s="7"/>
      <c r="K41" s="49">
        <v>100000</v>
      </c>
      <c r="L41" s="7"/>
      <c r="M41" s="7"/>
      <c r="N41" s="7"/>
      <c r="O41" s="7"/>
      <c r="P41" s="7"/>
      <c r="Q41" s="7"/>
      <c r="R41" s="7"/>
      <c r="S41" s="70">
        <f>(Table143[[#This Row],[Commercial Bid Price per case for NOI ($)]]-Table143[[#This Row],[Pass-Thru Value per case ($)]])+Table143[[#This Row],[Region 1: Fixed Fee Per Case ($)]]</f>
        <v>0</v>
      </c>
      <c r="T41" s="77" t="e">
        <f>(Table143[[#This Row],[Commercial Bid Price per case for NOI ($)]]+Table143[[#This Row],[Region 1: Fixed Fee Per Case ($)]])/Table143[[#This Row],['# of CN Servings per case]]</f>
        <v>#DIV/0!</v>
      </c>
      <c r="U41" s="71" t="e">
        <f>Table143[[#This Row],[Total Cost Per Serving (O+P)/J]]*Table143[[#This Row],[Estimated Servings Annual]]</f>
        <v>#DIV/0!</v>
      </c>
      <c r="V41" s="70">
        <f>(Table143[[#This Row],[Commercial Bid Price per case for NOI ($)]]-Table143[[#This Row],[Pass-Thru Value per case ($)]])+Table143[[#This Row],[Region 2: Fixed Fee Per Case ($)]]</f>
        <v>0</v>
      </c>
      <c r="W41" s="77" t="e">
        <f>(Table143[[#This Row],[Commercial Bid Price per case for NOI ($)]]+Table143[[#This Row],[Region 2: Fixed Fee Per Case ($)]])/Table143[[#This Row],['# of CN Servings per case]]</f>
        <v>#DIV/0!</v>
      </c>
      <c r="X41" s="72" t="e">
        <f>Table143[[#This Row],[Total Cost Per Serving (O+Q)/J]]*Table143[[#This Row],[Estimated Servings Annual]]</f>
        <v>#DIV/0!</v>
      </c>
    </row>
    <row r="42" spans="1:24" ht="29.5" thickBot="1" x14ac:dyDescent="0.4">
      <c r="A42" s="30" t="s">
        <v>30</v>
      </c>
      <c r="B42" s="45" t="s">
        <v>94</v>
      </c>
      <c r="C42" s="8" t="s">
        <v>13</v>
      </c>
      <c r="D42" s="8"/>
      <c r="E42" s="8"/>
      <c r="F42" s="8"/>
      <c r="G42" s="8"/>
      <c r="H42" s="8"/>
      <c r="I42" s="8"/>
      <c r="J42" s="8"/>
      <c r="K42" s="50">
        <v>100000</v>
      </c>
      <c r="L42" s="8"/>
      <c r="M42" s="8"/>
      <c r="N42" s="8"/>
      <c r="O42" s="8"/>
      <c r="P42" s="8"/>
      <c r="Q42" s="8"/>
      <c r="R42" s="8"/>
      <c r="S42" s="73">
        <f>(Table143[[#This Row],[Commercial Bid Price per case for NOI ($)]]-Table143[[#This Row],[Pass-Thru Value per case ($)]])+Table143[[#This Row],[Region 1: Fixed Fee Per Case ($)]]</f>
        <v>0</v>
      </c>
      <c r="T42" s="78" t="e">
        <f>(Table143[[#This Row],[Commercial Bid Price per case for NOI ($)]]+Table143[[#This Row],[Region 1: Fixed Fee Per Case ($)]])/Table143[[#This Row],['# of CN Servings per case]]</f>
        <v>#DIV/0!</v>
      </c>
      <c r="U42" s="74" t="e">
        <f>Table143[[#This Row],[Total Cost Per Serving (O+P)/J]]*Table143[[#This Row],[Estimated Servings Annual]]</f>
        <v>#DIV/0!</v>
      </c>
      <c r="V42" s="73">
        <f>(Table143[[#This Row],[Commercial Bid Price per case for NOI ($)]]-Table143[[#This Row],[Pass-Thru Value per case ($)]])+Table143[[#This Row],[Region 2: Fixed Fee Per Case ($)]]</f>
        <v>0</v>
      </c>
      <c r="W42" s="78" t="e">
        <f>(Table143[[#This Row],[Commercial Bid Price per case for NOI ($)]]+Table143[[#This Row],[Region 2: Fixed Fee Per Case ($)]])/Table143[[#This Row],['# of CN Servings per case]]</f>
        <v>#DIV/0!</v>
      </c>
      <c r="X42" s="75" t="e">
        <f>Table143[[#This Row],[Total Cost Per Serving (O+Q)/J]]*Table143[[#This Row],[Estimated Servings Annual]]</f>
        <v>#DIV/0!</v>
      </c>
    </row>
    <row r="43" spans="1:24" x14ac:dyDescent="0.35">
      <c r="A43" s="30" t="s">
        <v>30</v>
      </c>
      <c r="B43" s="42" t="s">
        <v>95</v>
      </c>
      <c r="C43" s="7" t="s">
        <v>50</v>
      </c>
      <c r="D43" s="6"/>
      <c r="E43" s="6"/>
      <c r="F43" s="6"/>
      <c r="G43" s="6"/>
      <c r="H43" s="6"/>
      <c r="I43" s="6"/>
      <c r="J43" s="6"/>
      <c r="K43" s="48">
        <v>300000</v>
      </c>
      <c r="L43" s="6"/>
      <c r="M43" s="6"/>
      <c r="N43" s="6"/>
      <c r="O43" s="6"/>
      <c r="P43" s="6"/>
      <c r="Q43" s="6"/>
      <c r="R43" s="6"/>
      <c r="S43" s="67">
        <f>(Table143[[#This Row],[Commercial Bid Price per case for NOI ($)]]-Table143[[#This Row],[Pass-Thru Value per case ($)]])+Table143[[#This Row],[Region 1: Fixed Fee Per Case ($)]]</f>
        <v>0</v>
      </c>
      <c r="T43" s="76" t="e">
        <f>(Table143[[#This Row],[Commercial Bid Price per case for NOI ($)]]+Table143[[#This Row],[Region 1: Fixed Fee Per Case ($)]])/Table143[[#This Row],['# of CN Servings per case]]</f>
        <v>#DIV/0!</v>
      </c>
      <c r="U43" s="68" t="e">
        <f>Table143[[#This Row],[Total Cost Per Serving (O+P)/J]]*Table143[[#This Row],[Estimated Servings Annual]]</f>
        <v>#DIV/0!</v>
      </c>
      <c r="V43" s="67">
        <f>(Table143[[#This Row],[Commercial Bid Price per case for NOI ($)]]-Table143[[#This Row],[Pass-Thru Value per case ($)]])+Table143[[#This Row],[Region 2: Fixed Fee Per Case ($)]]</f>
        <v>0</v>
      </c>
      <c r="W43" s="76" t="e">
        <f>(Table143[[#This Row],[Commercial Bid Price per case for NOI ($)]]+Table143[[#This Row],[Region 2: Fixed Fee Per Case ($)]])/Table143[[#This Row],['# of CN Servings per case]]</f>
        <v>#DIV/0!</v>
      </c>
      <c r="X43" s="69" t="e">
        <f>Table143[[#This Row],[Total Cost Per Serving (O+Q)/J]]*Table143[[#This Row],[Estimated Servings Annual]]</f>
        <v>#DIV/0!</v>
      </c>
    </row>
    <row r="44" spans="1:24" x14ac:dyDescent="0.35">
      <c r="A44" s="30" t="s">
        <v>30</v>
      </c>
      <c r="B44" s="28" t="s">
        <v>95</v>
      </c>
      <c r="C44" s="7" t="s">
        <v>50</v>
      </c>
      <c r="D44" s="7"/>
      <c r="E44" s="7"/>
      <c r="F44" s="7"/>
      <c r="G44" s="7"/>
      <c r="H44" s="7"/>
      <c r="I44" s="7"/>
      <c r="J44" s="7"/>
      <c r="K44" s="49">
        <v>300000</v>
      </c>
      <c r="L44" s="7"/>
      <c r="M44" s="7"/>
      <c r="N44" s="7"/>
      <c r="O44" s="7"/>
      <c r="P44" s="7"/>
      <c r="Q44" s="7"/>
      <c r="R44" s="7"/>
      <c r="S44" s="70">
        <f>(Table143[[#This Row],[Commercial Bid Price per case for NOI ($)]]-Table143[[#This Row],[Pass-Thru Value per case ($)]])+Table143[[#This Row],[Region 1: Fixed Fee Per Case ($)]]</f>
        <v>0</v>
      </c>
      <c r="T44" s="77" t="e">
        <f>(Table143[[#This Row],[Commercial Bid Price per case for NOI ($)]]+Table143[[#This Row],[Region 1: Fixed Fee Per Case ($)]])/Table143[[#This Row],['# of CN Servings per case]]</f>
        <v>#DIV/0!</v>
      </c>
      <c r="U44" s="71" t="e">
        <f>Table143[[#This Row],[Total Cost Per Serving (O+P)/J]]*Table143[[#This Row],[Estimated Servings Annual]]</f>
        <v>#DIV/0!</v>
      </c>
      <c r="V44" s="70">
        <f>(Table143[[#This Row],[Commercial Bid Price per case for NOI ($)]]-Table143[[#This Row],[Pass-Thru Value per case ($)]])+Table143[[#This Row],[Region 2: Fixed Fee Per Case ($)]]</f>
        <v>0</v>
      </c>
      <c r="W44" s="77" t="e">
        <f>(Table143[[#This Row],[Commercial Bid Price per case for NOI ($)]]+Table143[[#This Row],[Region 2: Fixed Fee Per Case ($)]])/Table143[[#This Row],['# of CN Servings per case]]</f>
        <v>#DIV/0!</v>
      </c>
      <c r="X44" s="72" t="e">
        <f>Table143[[#This Row],[Total Cost Per Serving (O+Q)/J]]*Table143[[#This Row],[Estimated Servings Annual]]</f>
        <v>#DIV/0!</v>
      </c>
    </row>
    <row r="45" spans="1:24" x14ac:dyDescent="0.35">
      <c r="A45" s="30" t="s">
        <v>30</v>
      </c>
      <c r="B45" s="28" t="s">
        <v>95</v>
      </c>
      <c r="C45" s="7"/>
      <c r="D45" s="7"/>
      <c r="E45" s="7"/>
      <c r="F45" s="7"/>
      <c r="G45" s="7"/>
      <c r="H45" s="7"/>
      <c r="I45" s="7"/>
      <c r="J45" s="7"/>
      <c r="K45" s="49">
        <v>300000</v>
      </c>
      <c r="L45" s="7"/>
      <c r="M45" s="7"/>
      <c r="N45" s="7"/>
      <c r="O45" s="7"/>
      <c r="P45" s="7"/>
      <c r="Q45" s="7"/>
      <c r="R45" s="7"/>
      <c r="S45" s="70">
        <f>(Table143[[#This Row],[Commercial Bid Price per case for NOI ($)]]-Table143[[#This Row],[Pass-Thru Value per case ($)]])+Table143[[#This Row],[Region 1: Fixed Fee Per Case ($)]]</f>
        <v>0</v>
      </c>
      <c r="T45" s="77" t="e">
        <f>(Table143[[#This Row],[Commercial Bid Price per case for NOI ($)]]+Table143[[#This Row],[Region 1: Fixed Fee Per Case ($)]])/Table143[[#This Row],['# of CN Servings per case]]</f>
        <v>#DIV/0!</v>
      </c>
      <c r="U45" s="71" t="e">
        <f>Table143[[#This Row],[Total Cost Per Serving (O+P)/J]]*Table143[[#This Row],[Estimated Servings Annual]]</f>
        <v>#DIV/0!</v>
      </c>
      <c r="V45" s="70">
        <f>(Table143[[#This Row],[Commercial Bid Price per case for NOI ($)]]-Table143[[#This Row],[Pass-Thru Value per case ($)]])+Table143[[#This Row],[Region 2: Fixed Fee Per Case ($)]]</f>
        <v>0</v>
      </c>
      <c r="W45" s="77" t="e">
        <f>(Table143[[#This Row],[Commercial Bid Price per case for NOI ($)]]+Table143[[#This Row],[Region 2: Fixed Fee Per Case ($)]])/Table143[[#This Row],['# of CN Servings per case]]</f>
        <v>#DIV/0!</v>
      </c>
      <c r="X45" s="72" t="e">
        <f>Table143[[#This Row],[Total Cost Per Serving (O+Q)/J]]*Table143[[#This Row],[Estimated Servings Annual]]</f>
        <v>#DIV/0!</v>
      </c>
    </row>
    <row r="46" spans="1:24" x14ac:dyDescent="0.35">
      <c r="A46" s="30" t="s">
        <v>30</v>
      </c>
      <c r="B46" s="28" t="s">
        <v>95</v>
      </c>
      <c r="C46" s="7"/>
      <c r="D46" s="7"/>
      <c r="E46" s="7"/>
      <c r="F46" s="7"/>
      <c r="G46" s="7"/>
      <c r="H46" s="7"/>
      <c r="I46" s="7"/>
      <c r="J46" s="7"/>
      <c r="K46" s="49">
        <v>300000</v>
      </c>
      <c r="L46" s="7"/>
      <c r="M46" s="7"/>
      <c r="N46" s="7"/>
      <c r="O46" s="7"/>
      <c r="P46" s="7"/>
      <c r="Q46" s="7"/>
      <c r="R46" s="7"/>
      <c r="S46" s="70">
        <f>(Table143[[#This Row],[Commercial Bid Price per case for NOI ($)]]-Table143[[#This Row],[Pass-Thru Value per case ($)]])+Table143[[#This Row],[Region 1: Fixed Fee Per Case ($)]]</f>
        <v>0</v>
      </c>
      <c r="T46" s="77" t="e">
        <f>(Table143[[#This Row],[Commercial Bid Price per case for NOI ($)]]+Table143[[#This Row],[Region 1: Fixed Fee Per Case ($)]])/Table143[[#This Row],['# of CN Servings per case]]</f>
        <v>#DIV/0!</v>
      </c>
      <c r="U46" s="71" t="e">
        <f>Table143[[#This Row],[Total Cost Per Serving (O+P)/J]]*Table143[[#This Row],[Estimated Servings Annual]]</f>
        <v>#DIV/0!</v>
      </c>
      <c r="V46" s="70">
        <f>(Table143[[#This Row],[Commercial Bid Price per case for NOI ($)]]-Table143[[#This Row],[Pass-Thru Value per case ($)]])+Table143[[#This Row],[Region 2: Fixed Fee Per Case ($)]]</f>
        <v>0</v>
      </c>
      <c r="W46" s="77" t="e">
        <f>(Table143[[#This Row],[Commercial Bid Price per case for NOI ($)]]+Table143[[#This Row],[Region 2: Fixed Fee Per Case ($)]])/Table143[[#This Row],['# of CN Servings per case]]</f>
        <v>#DIV/0!</v>
      </c>
      <c r="X46" s="72" t="e">
        <f>Table143[[#This Row],[Total Cost Per Serving (O+Q)/J]]*Table143[[#This Row],[Estimated Servings Annual]]</f>
        <v>#DIV/0!</v>
      </c>
    </row>
    <row r="47" spans="1:24" x14ac:dyDescent="0.35">
      <c r="A47" s="30" t="s">
        <v>30</v>
      </c>
      <c r="B47" s="28" t="s">
        <v>95</v>
      </c>
      <c r="C47" s="7"/>
      <c r="D47" s="7"/>
      <c r="E47" s="7"/>
      <c r="F47" s="7"/>
      <c r="G47" s="7"/>
      <c r="H47" s="7"/>
      <c r="I47" s="7"/>
      <c r="J47" s="7"/>
      <c r="K47" s="49">
        <v>300000</v>
      </c>
      <c r="L47" s="7"/>
      <c r="M47" s="7"/>
      <c r="N47" s="7"/>
      <c r="O47" s="7"/>
      <c r="P47" s="7"/>
      <c r="Q47" s="7"/>
      <c r="R47" s="7"/>
      <c r="S47" s="70">
        <f>(Table143[[#This Row],[Commercial Bid Price per case for NOI ($)]]-Table143[[#This Row],[Pass-Thru Value per case ($)]])+Table143[[#This Row],[Region 1: Fixed Fee Per Case ($)]]</f>
        <v>0</v>
      </c>
      <c r="T47" s="77" t="e">
        <f>(Table143[[#This Row],[Commercial Bid Price per case for NOI ($)]]+Table143[[#This Row],[Region 1: Fixed Fee Per Case ($)]])/Table143[[#This Row],['# of CN Servings per case]]</f>
        <v>#DIV/0!</v>
      </c>
      <c r="U47" s="71" t="e">
        <f>Table143[[#This Row],[Total Cost Per Serving (O+P)/J]]*Table143[[#This Row],[Estimated Servings Annual]]</f>
        <v>#DIV/0!</v>
      </c>
      <c r="V47" s="70">
        <f>(Table143[[#This Row],[Commercial Bid Price per case for NOI ($)]]-Table143[[#This Row],[Pass-Thru Value per case ($)]])+Table143[[#This Row],[Region 2: Fixed Fee Per Case ($)]]</f>
        <v>0</v>
      </c>
      <c r="W47" s="77" t="e">
        <f>(Table143[[#This Row],[Commercial Bid Price per case for NOI ($)]]+Table143[[#This Row],[Region 2: Fixed Fee Per Case ($)]])/Table143[[#This Row],['# of CN Servings per case]]</f>
        <v>#DIV/0!</v>
      </c>
      <c r="X47" s="72" t="e">
        <f>Table143[[#This Row],[Total Cost Per Serving (O+Q)/J]]*Table143[[#This Row],[Estimated Servings Annual]]</f>
        <v>#DIV/0!</v>
      </c>
    </row>
    <row r="48" spans="1:24" x14ac:dyDescent="0.35">
      <c r="A48" s="30" t="s">
        <v>30</v>
      </c>
      <c r="B48" s="28" t="s">
        <v>95</v>
      </c>
      <c r="C48" s="7"/>
      <c r="D48" s="7"/>
      <c r="E48" s="7"/>
      <c r="F48" s="7"/>
      <c r="G48" s="7"/>
      <c r="H48" s="7"/>
      <c r="I48" s="7"/>
      <c r="J48" s="7"/>
      <c r="K48" s="49">
        <v>300000</v>
      </c>
      <c r="L48" s="7"/>
      <c r="M48" s="7"/>
      <c r="N48" s="7"/>
      <c r="O48" s="7"/>
      <c r="P48" s="7"/>
      <c r="Q48" s="7"/>
      <c r="R48" s="7"/>
      <c r="S48" s="70">
        <f>(Table143[[#This Row],[Commercial Bid Price per case for NOI ($)]]-Table143[[#This Row],[Pass-Thru Value per case ($)]])+Table143[[#This Row],[Region 1: Fixed Fee Per Case ($)]]</f>
        <v>0</v>
      </c>
      <c r="T48" s="77" t="e">
        <f>(Table143[[#This Row],[Commercial Bid Price per case for NOI ($)]]+Table143[[#This Row],[Region 1: Fixed Fee Per Case ($)]])/Table143[[#This Row],['# of CN Servings per case]]</f>
        <v>#DIV/0!</v>
      </c>
      <c r="U48" s="71" t="e">
        <f>Table143[[#This Row],[Total Cost Per Serving (O+P)/J]]*Table143[[#This Row],[Estimated Servings Annual]]</f>
        <v>#DIV/0!</v>
      </c>
      <c r="V48" s="70">
        <f>(Table143[[#This Row],[Commercial Bid Price per case for NOI ($)]]-Table143[[#This Row],[Pass-Thru Value per case ($)]])+Table143[[#This Row],[Region 2: Fixed Fee Per Case ($)]]</f>
        <v>0</v>
      </c>
      <c r="W48" s="77" t="e">
        <f>(Table143[[#This Row],[Commercial Bid Price per case for NOI ($)]]+Table143[[#This Row],[Region 2: Fixed Fee Per Case ($)]])/Table143[[#This Row],['# of CN Servings per case]]</f>
        <v>#DIV/0!</v>
      </c>
      <c r="X48" s="72" t="e">
        <f>Table143[[#This Row],[Total Cost Per Serving (O+Q)/J]]*Table143[[#This Row],[Estimated Servings Annual]]</f>
        <v>#DIV/0!</v>
      </c>
    </row>
    <row r="49" spans="1:24" x14ac:dyDescent="0.35">
      <c r="A49" s="30" t="s">
        <v>30</v>
      </c>
      <c r="B49" s="28" t="s">
        <v>95</v>
      </c>
      <c r="C49" s="7"/>
      <c r="D49" s="7"/>
      <c r="E49" s="7"/>
      <c r="F49" s="7"/>
      <c r="G49" s="7"/>
      <c r="H49" s="7"/>
      <c r="I49" s="7"/>
      <c r="J49" s="7"/>
      <c r="K49" s="49">
        <v>300000</v>
      </c>
      <c r="L49" s="7"/>
      <c r="M49" s="7"/>
      <c r="N49" s="7"/>
      <c r="O49" s="7"/>
      <c r="P49" s="7"/>
      <c r="Q49" s="7"/>
      <c r="R49" s="7"/>
      <c r="S49" s="70">
        <f>(Table143[[#This Row],[Commercial Bid Price per case for NOI ($)]]-Table143[[#This Row],[Pass-Thru Value per case ($)]])+Table143[[#This Row],[Region 1: Fixed Fee Per Case ($)]]</f>
        <v>0</v>
      </c>
      <c r="T49" s="77" t="e">
        <f>(Table143[[#This Row],[Commercial Bid Price per case for NOI ($)]]+Table143[[#This Row],[Region 1: Fixed Fee Per Case ($)]])/Table143[[#This Row],['# of CN Servings per case]]</f>
        <v>#DIV/0!</v>
      </c>
      <c r="U49" s="71" t="e">
        <f>Table143[[#This Row],[Total Cost Per Serving (O+P)/J]]*Table143[[#This Row],[Estimated Servings Annual]]</f>
        <v>#DIV/0!</v>
      </c>
      <c r="V49" s="70">
        <f>(Table143[[#This Row],[Commercial Bid Price per case for NOI ($)]]-Table143[[#This Row],[Pass-Thru Value per case ($)]])+Table143[[#This Row],[Region 2: Fixed Fee Per Case ($)]]</f>
        <v>0</v>
      </c>
      <c r="W49" s="77" t="e">
        <f>(Table143[[#This Row],[Commercial Bid Price per case for NOI ($)]]+Table143[[#This Row],[Region 2: Fixed Fee Per Case ($)]])/Table143[[#This Row],['# of CN Servings per case]]</f>
        <v>#DIV/0!</v>
      </c>
      <c r="X49" s="72" t="e">
        <f>Table143[[#This Row],[Total Cost Per Serving (O+Q)/J]]*Table143[[#This Row],[Estimated Servings Annual]]</f>
        <v>#DIV/0!</v>
      </c>
    </row>
    <row r="50" spans="1:24" ht="15" thickBot="1" x14ac:dyDescent="0.4">
      <c r="A50" s="30" t="s">
        <v>30</v>
      </c>
      <c r="B50" s="41" t="s">
        <v>95</v>
      </c>
      <c r="C50" s="8"/>
      <c r="D50" s="8"/>
      <c r="E50" s="8"/>
      <c r="F50" s="8"/>
      <c r="G50" s="8"/>
      <c r="H50" s="8"/>
      <c r="I50" s="8"/>
      <c r="J50" s="8"/>
      <c r="K50" s="50">
        <v>300000</v>
      </c>
      <c r="L50" s="8"/>
      <c r="M50" s="8"/>
      <c r="N50" s="8"/>
      <c r="O50" s="8"/>
      <c r="P50" s="8"/>
      <c r="Q50" s="8"/>
      <c r="R50" s="8"/>
      <c r="S50" s="73">
        <f>(Table143[[#This Row],[Commercial Bid Price per case for NOI ($)]]-Table143[[#This Row],[Pass-Thru Value per case ($)]])+Table143[[#This Row],[Region 1: Fixed Fee Per Case ($)]]</f>
        <v>0</v>
      </c>
      <c r="T50" s="78" t="e">
        <f>(Table143[[#This Row],[Commercial Bid Price per case for NOI ($)]]+Table143[[#This Row],[Region 1: Fixed Fee Per Case ($)]])/Table143[[#This Row],['# of CN Servings per case]]</f>
        <v>#DIV/0!</v>
      </c>
      <c r="U50" s="74" t="e">
        <f>Table143[[#This Row],[Total Cost Per Serving (O+P)/J]]*Table143[[#This Row],[Estimated Servings Annual]]</f>
        <v>#DIV/0!</v>
      </c>
      <c r="V50" s="73">
        <f>(Table143[[#This Row],[Commercial Bid Price per case for NOI ($)]]-Table143[[#This Row],[Pass-Thru Value per case ($)]])+Table143[[#This Row],[Region 2: Fixed Fee Per Case ($)]]</f>
        <v>0</v>
      </c>
      <c r="W50" s="78" t="e">
        <f>(Table143[[#This Row],[Commercial Bid Price per case for NOI ($)]]+Table143[[#This Row],[Region 2: Fixed Fee Per Case ($)]])/Table143[[#This Row],['# of CN Servings per case]]</f>
        <v>#DIV/0!</v>
      </c>
      <c r="X50" s="75" t="e">
        <f>Table143[[#This Row],[Total Cost Per Serving (O+Q)/J]]*Table143[[#This Row],[Estimated Servings Annual]]</f>
        <v>#DIV/0!</v>
      </c>
    </row>
    <row r="51" spans="1:24" x14ac:dyDescent="0.35">
      <c r="A51" s="30" t="s">
        <v>30</v>
      </c>
      <c r="B51" s="42" t="s">
        <v>96</v>
      </c>
      <c r="C51" s="6" t="s">
        <v>61</v>
      </c>
      <c r="D51" s="6"/>
      <c r="E51" s="6"/>
      <c r="F51" s="6"/>
      <c r="G51" s="6"/>
      <c r="H51" s="6"/>
      <c r="I51" s="6"/>
      <c r="J51" s="6"/>
      <c r="K51" s="48">
        <v>1000000</v>
      </c>
      <c r="L51" s="6"/>
      <c r="M51" s="6"/>
      <c r="N51" s="6"/>
      <c r="O51" s="6"/>
      <c r="P51" s="6"/>
      <c r="Q51" s="6"/>
      <c r="R51" s="6"/>
      <c r="S51" s="67">
        <f>(Table143[[#This Row],[Commercial Bid Price per case for NOI ($)]]-Table143[[#This Row],[Pass-Thru Value per case ($)]])+Table143[[#This Row],[Region 1: Fixed Fee Per Case ($)]]</f>
        <v>0</v>
      </c>
      <c r="T51" s="76" t="e">
        <f>(Table143[[#This Row],[Commercial Bid Price per case for NOI ($)]]+Table143[[#This Row],[Region 1: Fixed Fee Per Case ($)]])/Table143[[#This Row],['# of CN Servings per case]]</f>
        <v>#DIV/0!</v>
      </c>
      <c r="U51" s="68" t="e">
        <f>Table143[[#This Row],[Total Cost Per Serving (O+P)/J]]*Table143[[#This Row],[Estimated Servings Annual]]</f>
        <v>#DIV/0!</v>
      </c>
      <c r="V51" s="67">
        <f>(Table143[[#This Row],[Commercial Bid Price per case for NOI ($)]]-Table143[[#This Row],[Pass-Thru Value per case ($)]])+Table143[[#This Row],[Region 2: Fixed Fee Per Case ($)]]</f>
        <v>0</v>
      </c>
      <c r="W51" s="76" t="e">
        <f>(Table143[[#This Row],[Commercial Bid Price per case for NOI ($)]]+Table143[[#This Row],[Region 2: Fixed Fee Per Case ($)]])/Table143[[#This Row],['# of CN Servings per case]]</f>
        <v>#DIV/0!</v>
      </c>
      <c r="X51" s="69" t="e">
        <f>Table143[[#This Row],[Total Cost Per Serving (O+Q)/J]]*Table143[[#This Row],[Estimated Servings Annual]]</f>
        <v>#DIV/0!</v>
      </c>
    </row>
    <row r="52" spans="1:24" x14ac:dyDescent="0.35">
      <c r="A52" s="30" t="s">
        <v>30</v>
      </c>
      <c r="B52" s="28" t="s">
        <v>96</v>
      </c>
      <c r="C52" s="7" t="s">
        <v>61</v>
      </c>
      <c r="D52" s="7"/>
      <c r="E52" s="7"/>
      <c r="F52" s="7"/>
      <c r="G52" s="7"/>
      <c r="H52" s="7"/>
      <c r="I52" s="7"/>
      <c r="J52" s="7"/>
      <c r="K52" s="49">
        <v>1000000</v>
      </c>
      <c r="L52" s="7"/>
      <c r="M52" s="7"/>
      <c r="N52" s="7"/>
      <c r="O52" s="7"/>
      <c r="P52" s="7"/>
      <c r="Q52" s="7"/>
      <c r="R52" s="7"/>
      <c r="S52" s="70">
        <f>(Table143[[#This Row],[Commercial Bid Price per case for NOI ($)]]-Table143[[#This Row],[Pass-Thru Value per case ($)]])+Table143[[#This Row],[Region 1: Fixed Fee Per Case ($)]]</f>
        <v>0</v>
      </c>
      <c r="T52" s="77" t="e">
        <f>(Table143[[#This Row],[Commercial Bid Price per case for NOI ($)]]+Table143[[#This Row],[Region 1: Fixed Fee Per Case ($)]])/Table143[[#This Row],['# of CN Servings per case]]</f>
        <v>#DIV/0!</v>
      </c>
      <c r="U52" s="71" t="e">
        <f>Table143[[#This Row],[Total Cost Per Serving (O+P)/J]]*Table143[[#This Row],[Estimated Servings Annual]]</f>
        <v>#DIV/0!</v>
      </c>
      <c r="V52" s="70">
        <f>(Table143[[#This Row],[Commercial Bid Price per case for NOI ($)]]-Table143[[#This Row],[Pass-Thru Value per case ($)]])+Table143[[#This Row],[Region 2: Fixed Fee Per Case ($)]]</f>
        <v>0</v>
      </c>
      <c r="W52" s="77" t="e">
        <f>(Table143[[#This Row],[Commercial Bid Price per case for NOI ($)]]+Table143[[#This Row],[Region 2: Fixed Fee Per Case ($)]])/Table143[[#This Row],['# of CN Servings per case]]</f>
        <v>#DIV/0!</v>
      </c>
      <c r="X52" s="72" t="e">
        <f>Table143[[#This Row],[Total Cost Per Serving (O+Q)/J]]*Table143[[#This Row],[Estimated Servings Annual]]</f>
        <v>#DIV/0!</v>
      </c>
    </row>
    <row r="53" spans="1:24" x14ac:dyDescent="0.35">
      <c r="A53" s="30" t="s">
        <v>30</v>
      </c>
      <c r="B53" s="28" t="s">
        <v>96</v>
      </c>
      <c r="C53" s="7" t="s">
        <v>50</v>
      </c>
      <c r="D53" s="7"/>
      <c r="E53" s="7"/>
      <c r="F53" s="7"/>
      <c r="G53" s="7"/>
      <c r="H53" s="7"/>
      <c r="I53" s="7"/>
      <c r="J53" s="7"/>
      <c r="K53" s="49">
        <v>1000000</v>
      </c>
      <c r="L53" s="7"/>
      <c r="M53" s="7"/>
      <c r="N53" s="7"/>
      <c r="O53" s="7"/>
      <c r="P53" s="7"/>
      <c r="Q53" s="7"/>
      <c r="R53" s="7"/>
      <c r="S53" s="70">
        <f>(Table143[[#This Row],[Commercial Bid Price per case for NOI ($)]]-Table143[[#This Row],[Pass-Thru Value per case ($)]])+Table143[[#This Row],[Region 1: Fixed Fee Per Case ($)]]</f>
        <v>0</v>
      </c>
      <c r="T53" s="77" t="e">
        <f>(Table143[[#This Row],[Commercial Bid Price per case for NOI ($)]]+Table143[[#This Row],[Region 1: Fixed Fee Per Case ($)]])/Table143[[#This Row],['# of CN Servings per case]]</f>
        <v>#DIV/0!</v>
      </c>
      <c r="U53" s="71" t="e">
        <f>Table143[[#This Row],[Total Cost Per Serving (O+P)/J]]*Table143[[#This Row],[Estimated Servings Annual]]</f>
        <v>#DIV/0!</v>
      </c>
      <c r="V53" s="70">
        <f>(Table143[[#This Row],[Commercial Bid Price per case for NOI ($)]]-Table143[[#This Row],[Pass-Thru Value per case ($)]])+Table143[[#This Row],[Region 2: Fixed Fee Per Case ($)]]</f>
        <v>0</v>
      </c>
      <c r="W53" s="77" t="e">
        <f>(Table143[[#This Row],[Commercial Bid Price per case for NOI ($)]]+Table143[[#This Row],[Region 2: Fixed Fee Per Case ($)]])/Table143[[#This Row],['# of CN Servings per case]]</f>
        <v>#DIV/0!</v>
      </c>
      <c r="X53" s="72" t="e">
        <f>Table143[[#This Row],[Total Cost Per Serving (O+Q)/J]]*Table143[[#This Row],[Estimated Servings Annual]]</f>
        <v>#DIV/0!</v>
      </c>
    </row>
    <row r="54" spans="1:24" x14ac:dyDescent="0.35">
      <c r="A54" s="30" t="s">
        <v>30</v>
      </c>
      <c r="B54" s="28" t="s">
        <v>96</v>
      </c>
      <c r="C54" s="7" t="s">
        <v>50</v>
      </c>
      <c r="D54" s="7"/>
      <c r="E54" s="7"/>
      <c r="F54" s="7"/>
      <c r="G54" s="7"/>
      <c r="H54" s="7"/>
      <c r="I54" s="7"/>
      <c r="J54" s="7"/>
      <c r="K54" s="49">
        <v>1000000</v>
      </c>
      <c r="L54" s="7"/>
      <c r="M54" s="7"/>
      <c r="N54" s="7"/>
      <c r="O54" s="7"/>
      <c r="P54" s="7"/>
      <c r="Q54" s="7"/>
      <c r="R54" s="7"/>
      <c r="S54" s="70">
        <f>(Table143[[#This Row],[Commercial Bid Price per case for NOI ($)]]-Table143[[#This Row],[Pass-Thru Value per case ($)]])+Table143[[#This Row],[Region 1: Fixed Fee Per Case ($)]]</f>
        <v>0</v>
      </c>
      <c r="T54" s="77" t="e">
        <f>(Table143[[#This Row],[Commercial Bid Price per case for NOI ($)]]+Table143[[#This Row],[Region 1: Fixed Fee Per Case ($)]])/Table143[[#This Row],['# of CN Servings per case]]</f>
        <v>#DIV/0!</v>
      </c>
      <c r="U54" s="71" t="e">
        <f>Table143[[#This Row],[Total Cost Per Serving (O+P)/J]]*Table143[[#This Row],[Estimated Servings Annual]]</f>
        <v>#DIV/0!</v>
      </c>
      <c r="V54" s="70">
        <f>(Table143[[#This Row],[Commercial Bid Price per case for NOI ($)]]-Table143[[#This Row],[Pass-Thru Value per case ($)]])+Table143[[#This Row],[Region 2: Fixed Fee Per Case ($)]]</f>
        <v>0</v>
      </c>
      <c r="W54" s="77" t="e">
        <f>(Table143[[#This Row],[Commercial Bid Price per case for NOI ($)]]+Table143[[#This Row],[Region 2: Fixed Fee Per Case ($)]])/Table143[[#This Row],['# of CN Servings per case]]</f>
        <v>#DIV/0!</v>
      </c>
      <c r="X54" s="72" t="e">
        <f>Table143[[#This Row],[Total Cost Per Serving (O+Q)/J]]*Table143[[#This Row],[Estimated Servings Annual]]</f>
        <v>#DIV/0!</v>
      </c>
    </row>
    <row r="55" spans="1:24" x14ac:dyDescent="0.35">
      <c r="A55" s="30" t="s">
        <v>30</v>
      </c>
      <c r="B55" s="28" t="s">
        <v>96</v>
      </c>
      <c r="C55" s="7" t="s">
        <v>13</v>
      </c>
      <c r="D55" s="7"/>
      <c r="E55" s="7"/>
      <c r="F55" s="7"/>
      <c r="G55" s="7"/>
      <c r="H55" s="7"/>
      <c r="I55" s="7"/>
      <c r="J55" s="7"/>
      <c r="K55" s="49">
        <v>1000000</v>
      </c>
      <c r="L55" s="7"/>
      <c r="M55" s="7"/>
      <c r="N55" s="7"/>
      <c r="O55" s="7"/>
      <c r="P55" s="7"/>
      <c r="Q55" s="7"/>
      <c r="R55" s="7"/>
      <c r="S55" s="70">
        <f>(Table143[[#This Row],[Commercial Bid Price per case for NOI ($)]]-Table143[[#This Row],[Pass-Thru Value per case ($)]])+Table143[[#This Row],[Region 1: Fixed Fee Per Case ($)]]</f>
        <v>0</v>
      </c>
      <c r="T55" s="77" t="e">
        <f>(Table143[[#This Row],[Commercial Bid Price per case for NOI ($)]]+Table143[[#This Row],[Region 1: Fixed Fee Per Case ($)]])/Table143[[#This Row],['# of CN Servings per case]]</f>
        <v>#DIV/0!</v>
      </c>
      <c r="U55" s="71" t="e">
        <f>Table143[[#This Row],[Total Cost Per Serving (O+P)/J]]*Table143[[#This Row],[Estimated Servings Annual]]</f>
        <v>#DIV/0!</v>
      </c>
      <c r="V55" s="70">
        <f>(Table143[[#This Row],[Commercial Bid Price per case for NOI ($)]]-Table143[[#This Row],[Pass-Thru Value per case ($)]])+Table143[[#This Row],[Region 2: Fixed Fee Per Case ($)]]</f>
        <v>0</v>
      </c>
      <c r="W55" s="77" t="e">
        <f>(Table143[[#This Row],[Commercial Bid Price per case for NOI ($)]]+Table143[[#This Row],[Region 2: Fixed Fee Per Case ($)]])/Table143[[#This Row],['# of CN Servings per case]]</f>
        <v>#DIV/0!</v>
      </c>
      <c r="X55" s="72" t="e">
        <f>Table143[[#This Row],[Total Cost Per Serving (O+Q)/J]]*Table143[[#This Row],[Estimated Servings Annual]]</f>
        <v>#DIV/0!</v>
      </c>
    </row>
    <row r="56" spans="1:24" x14ac:dyDescent="0.35">
      <c r="A56" s="30" t="s">
        <v>30</v>
      </c>
      <c r="B56" s="28" t="s">
        <v>96</v>
      </c>
      <c r="C56" s="7" t="s">
        <v>13</v>
      </c>
      <c r="D56" s="7"/>
      <c r="E56" s="7"/>
      <c r="F56" s="7"/>
      <c r="G56" s="7"/>
      <c r="H56" s="7"/>
      <c r="I56" s="7"/>
      <c r="J56" s="7"/>
      <c r="K56" s="49">
        <v>1000000</v>
      </c>
      <c r="L56" s="7"/>
      <c r="M56" s="7"/>
      <c r="N56" s="7"/>
      <c r="O56" s="7"/>
      <c r="P56" s="7"/>
      <c r="Q56" s="7"/>
      <c r="R56" s="7"/>
      <c r="S56" s="70">
        <f>(Table143[[#This Row],[Commercial Bid Price per case for NOI ($)]]-Table143[[#This Row],[Pass-Thru Value per case ($)]])+Table143[[#This Row],[Region 1: Fixed Fee Per Case ($)]]</f>
        <v>0</v>
      </c>
      <c r="T56" s="77" t="e">
        <f>(Table143[[#This Row],[Commercial Bid Price per case for NOI ($)]]+Table143[[#This Row],[Region 1: Fixed Fee Per Case ($)]])/Table143[[#This Row],['# of CN Servings per case]]</f>
        <v>#DIV/0!</v>
      </c>
      <c r="U56" s="71" t="e">
        <f>Table143[[#This Row],[Total Cost Per Serving (O+P)/J]]*Table143[[#This Row],[Estimated Servings Annual]]</f>
        <v>#DIV/0!</v>
      </c>
      <c r="V56" s="70">
        <f>(Table143[[#This Row],[Commercial Bid Price per case for NOI ($)]]-Table143[[#This Row],[Pass-Thru Value per case ($)]])+Table143[[#This Row],[Region 2: Fixed Fee Per Case ($)]]</f>
        <v>0</v>
      </c>
      <c r="W56" s="77" t="e">
        <f>(Table143[[#This Row],[Commercial Bid Price per case for NOI ($)]]+Table143[[#This Row],[Region 2: Fixed Fee Per Case ($)]])/Table143[[#This Row],['# of CN Servings per case]]</f>
        <v>#DIV/0!</v>
      </c>
      <c r="X56" s="72" t="e">
        <f>Table143[[#This Row],[Total Cost Per Serving (O+Q)/J]]*Table143[[#This Row],[Estimated Servings Annual]]</f>
        <v>#DIV/0!</v>
      </c>
    </row>
    <row r="57" spans="1:24" x14ac:dyDescent="0.35">
      <c r="A57" s="30" t="s">
        <v>30</v>
      </c>
      <c r="B57" s="28" t="s">
        <v>96</v>
      </c>
      <c r="C57" s="7" t="s">
        <v>13</v>
      </c>
      <c r="D57" s="7"/>
      <c r="E57" s="7"/>
      <c r="F57" s="7"/>
      <c r="G57" s="7"/>
      <c r="H57" s="7"/>
      <c r="I57" s="7"/>
      <c r="J57" s="7"/>
      <c r="K57" s="49">
        <v>1000000</v>
      </c>
      <c r="L57" s="7"/>
      <c r="M57" s="7"/>
      <c r="N57" s="7"/>
      <c r="O57" s="7"/>
      <c r="P57" s="7"/>
      <c r="Q57" s="7"/>
      <c r="R57" s="7"/>
      <c r="S57" s="70">
        <f>(Table143[[#This Row],[Commercial Bid Price per case for NOI ($)]]-Table143[[#This Row],[Pass-Thru Value per case ($)]])+Table143[[#This Row],[Region 1: Fixed Fee Per Case ($)]]</f>
        <v>0</v>
      </c>
      <c r="T57" s="77" t="e">
        <f>(Table143[[#This Row],[Commercial Bid Price per case for NOI ($)]]+Table143[[#This Row],[Region 1: Fixed Fee Per Case ($)]])/Table143[[#This Row],['# of CN Servings per case]]</f>
        <v>#DIV/0!</v>
      </c>
      <c r="U57" s="71" t="e">
        <f>Table143[[#This Row],[Total Cost Per Serving (O+P)/J]]*Table143[[#This Row],[Estimated Servings Annual]]</f>
        <v>#DIV/0!</v>
      </c>
      <c r="V57" s="70">
        <f>(Table143[[#This Row],[Commercial Bid Price per case for NOI ($)]]-Table143[[#This Row],[Pass-Thru Value per case ($)]])+Table143[[#This Row],[Region 2: Fixed Fee Per Case ($)]]</f>
        <v>0</v>
      </c>
      <c r="W57" s="77" t="e">
        <f>(Table143[[#This Row],[Commercial Bid Price per case for NOI ($)]]+Table143[[#This Row],[Region 2: Fixed Fee Per Case ($)]])/Table143[[#This Row],['# of CN Servings per case]]</f>
        <v>#DIV/0!</v>
      </c>
      <c r="X57" s="72" t="e">
        <f>Table143[[#This Row],[Total Cost Per Serving (O+Q)/J]]*Table143[[#This Row],[Estimated Servings Annual]]</f>
        <v>#DIV/0!</v>
      </c>
    </row>
    <row r="58" spans="1:24" ht="15" thickBot="1" x14ac:dyDescent="0.4">
      <c r="A58" s="30" t="s">
        <v>30</v>
      </c>
      <c r="B58" s="41" t="s">
        <v>96</v>
      </c>
      <c r="C58" s="8" t="s">
        <v>13</v>
      </c>
      <c r="D58" s="8"/>
      <c r="E58" s="8"/>
      <c r="F58" s="8"/>
      <c r="G58" s="8"/>
      <c r="H58" s="8"/>
      <c r="I58" s="8"/>
      <c r="J58" s="8"/>
      <c r="K58" s="50">
        <v>1000000</v>
      </c>
      <c r="L58" s="8"/>
      <c r="M58" s="8"/>
      <c r="N58" s="8"/>
      <c r="O58" s="8"/>
      <c r="P58" s="8"/>
      <c r="Q58" s="8"/>
      <c r="R58" s="8"/>
      <c r="S58" s="73">
        <f>(Table143[[#This Row],[Commercial Bid Price per case for NOI ($)]]-Table143[[#This Row],[Pass-Thru Value per case ($)]])+Table143[[#This Row],[Region 1: Fixed Fee Per Case ($)]]</f>
        <v>0</v>
      </c>
      <c r="T58" s="78" t="e">
        <f>(Table143[[#This Row],[Commercial Bid Price per case for NOI ($)]]+Table143[[#This Row],[Region 1: Fixed Fee Per Case ($)]])/Table143[[#This Row],['# of CN Servings per case]]</f>
        <v>#DIV/0!</v>
      </c>
      <c r="U58" s="74" t="e">
        <f>Table143[[#This Row],[Total Cost Per Serving (O+P)/J]]*Table143[[#This Row],[Estimated Servings Annual]]</f>
        <v>#DIV/0!</v>
      </c>
      <c r="V58" s="73">
        <f>(Table143[[#This Row],[Commercial Bid Price per case for NOI ($)]]-Table143[[#This Row],[Pass-Thru Value per case ($)]])+Table143[[#This Row],[Region 2: Fixed Fee Per Case ($)]]</f>
        <v>0</v>
      </c>
      <c r="W58" s="78" t="e">
        <f>(Table143[[#This Row],[Commercial Bid Price per case for NOI ($)]]+Table143[[#This Row],[Region 2: Fixed Fee Per Case ($)]])/Table143[[#This Row],['# of CN Servings per case]]</f>
        <v>#DIV/0!</v>
      </c>
      <c r="X58" s="75" t="e">
        <f>Table143[[#This Row],[Total Cost Per Serving (O+Q)/J]]*Table143[[#This Row],[Estimated Servings Annual]]</f>
        <v>#DIV/0!</v>
      </c>
    </row>
    <row r="59" spans="1:24" x14ac:dyDescent="0.35">
      <c r="A59" s="30" t="s">
        <v>30</v>
      </c>
      <c r="B59" s="42" t="s">
        <v>97</v>
      </c>
      <c r="C59" s="6" t="s">
        <v>61</v>
      </c>
      <c r="D59" s="6"/>
      <c r="E59" s="6"/>
      <c r="F59" s="6"/>
      <c r="G59" s="6"/>
      <c r="H59" s="6"/>
      <c r="I59" s="6"/>
      <c r="J59" s="6"/>
      <c r="K59" s="48">
        <v>800000</v>
      </c>
      <c r="L59" s="6"/>
      <c r="M59" s="6"/>
      <c r="N59" s="6"/>
      <c r="O59" s="6"/>
      <c r="P59" s="6"/>
      <c r="Q59" s="6"/>
      <c r="R59" s="6"/>
      <c r="S59" s="79">
        <f>(Table143[[#This Row],[Commercial Bid Price per case for NOI ($)]]-Table143[[#This Row],[Pass-Thru Value per case ($)]])+Table143[[#This Row],[Region 1: Fixed Fee Per Case ($)]]</f>
        <v>0</v>
      </c>
      <c r="T59" s="76" t="e">
        <f>(Table143[[#This Row],[Commercial Bid Price per case for NOI ($)]]+Table143[[#This Row],[Region 1: Fixed Fee Per Case ($)]])/Table143[[#This Row],['# of CN Servings per case]]</f>
        <v>#DIV/0!</v>
      </c>
      <c r="U59" s="76" t="e">
        <f>Table143[[#This Row],[Total Cost Per Serving (O+P)/J]]*Table143[[#This Row],[Estimated Servings Annual]]</f>
        <v>#DIV/0!</v>
      </c>
      <c r="V59" s="79">
        <f>(Table143[[#This Row],[Commercial Bid Price per case for NOI ($)]]-Table143[[#This Row],[Pass-Thru Value per case ($)]])+Table143[[#This Row],[Region 2: Fixed Fee Per Case ($)]]</f>
        <v>0</v>
      </c>
      <c r="W59" s="76" t="e">
        <f>(Table143[[#This Row],[Commercial Bid Price per case for NOI ($)]]+Table143[[#This Row],[Region 2: Fixed Fee Per Case ($)]])/Table143[[#This Row],['# of CN Servings per case]]</f>
        <v>#DIV/0!</v>
      </c>
      <c r="X59" s="80" t="e">
        <f>Table143[[#This Row],[Total Cost Per Serving (O+Q)/J]]*Table143[[#This Row],[Estimated Servings Annual]]</f>
        <v>#DIV/0!</v>
      </c>
    </row>
    <row r="60" spans="1:24" x14ac:dyDescent="0.35">
      <c r="A60" s="30" t="s">
        <v>30</v>
      </c>
      <c r="B60" s="28" t="s">
        <v>97</v>
      </c>
      <c r="C60" s="7" t="s">
        <v>61</v>
      </c>
      <c r="D60" s="7"/>
      <c r="E60" s="7"/>
      <c r="F60" s="7"/>
      <c r="G60" s="7"/>
      <c r="H60" s="7"/>
      <c r="I60" s="7"/>
      <c r="J60" s="7"/>
      <c r="K60" s="49">
        <v>800000</v>
      </c>
      <c r="L60" s="7"/>
      <c r="M60" s="7"/>
      <c r="N60" s="7"/>
      <c r="O60" s="7"/>
      <c r="P60" s="7"/>
      <c r="Q60" s="7"/>
      <c r="R60" s="7"/>
      <c r="S60" s="81">
        <f>(Table143[[#This Row],[Commercial Bid Price per case for NOI ($)]]-Table143[[#This Row],[Pass-Thru Value per case ($)]])+Table143[[#This Row],[Region 1: Fixed Fee Per Case ($)]]</f>
        <v>0</v>
      </c>
      <c r="T60" s="77" t="e">
        <f>(Table143[[#This Row],[Commercial Bid Price per case for NOI ($)]]+Table143[[#This Row],[Region 1: Fixed Fee Per Case ($)]])/Table143[[#This Row],['# of CN Servings per case]]</f>
        <v>#DIV/0!</v>
      </c>
      <c r="U60" s="77" t="e">
        <f>Table143[[#This Row],[Total Cost Per Serving (O+P)/J]]*Table143[[#This Row],[Estimated Servings Annual]]</f>
        <v>#DIV/0!</v>
      </c>
      <c r="V60" s="81">
        <f>(Table143[[#This Row],[Commercial Bid Price per case for NOI ($)]]-Table143[[#This Row],[Pass-Thru Value per case ($)]])+Table143[[#This Row],[Region 2: Fixed Fee Per Case ($)]]</f>
        <v>0</v>
      </c>
      <c r="W60" s="77" t="e">
        <f>(Table143[[#This Row],[Commercial Bid Price per case for NOI ($)]]+Table143[[#This Row],[Region 2: Fixed Fee Per Case ($)]])/Table143[[#This Row],['# of CN Servings per case]]</f>
        <v>#DIV/0!</v>
      </c>
      <c r="X60" s="82" t="e">
        <f>Table143[[#This Row],[Total Cost Per Serving (O+Q)/J]]*Table143[[#This Row],[Estimated Servings Annual]]</f>
        <v>#DIV/0!</v>
      </c>
    </row>
    <row r="61" spans="1:24" x14ac:dyDescent="0.35">
      <c r="A61" s="30" t="s">
        <v>30</v>
      </c>
      <c r="B61" s="28" t="s">
        <v>97</v>
      </c>
      <c r="C61" s="7" t="s">
        <v>50</v>
      </c>
      <c r="D61" s="7"/>
      <c r="E61" s="7"/>
      <c r="F61" s="7"/>
      <c r="G61" s="7"/>
      <c r="H61" s="7"/>
      <c r="I61" s="7"/>
      <c r="J61" s="7"/>
      <c r="K61" s="49">
        <v>800000</v>
      </c>
      <c r="L61" s="7"/>
      <c r="M61" s="7"/>
      <c r="N61" s="7"/>
      <c r="O61" s="7"/>
      <c r="P61" s="7"/>
      <c r="Q61" s="7"/>
      <c r="R61" s="7"/>
      <c r="S61" s="81">
        <f>(Table143[[#This Row],[Commercial Bid Price per case for NOI ($)]]-Table143[[#This Row],[Pass-Thru Value per case ($)]])+Table143[[#This Row],[Region 1: Fixed Fee Per Case ($)]]</f>
        <v>0</v>
      </c>
      <c r="T61" s="77" t="e">
        <f>(Table143[[#This Row],[Commercial Bid Price per case for NOI ($)]]+Table143[[#This Row],[Region 1: Fixed Fee Per Case ($)]])/Table143[[#This Row],['# of CN Servings per case]]</f>
        <v>#DIV/0!</v>
      </c>
      <c r="U61" s="77" t="e">
        <f>Table143[[#This Row],[Total Cost Per Serving (O+P)/J]]*Table143[[#This Row],[Estimated Servings Annual]]</f>
        <v>#DIV/0!</v>
      </c>
      <c r="V61" s="81">
        <f>(Table143[[#This Row],[Commercial Bid Price per case for NOI ($)]]-Table143[[#This Row],[Pass-Thru Value per case ($)]])+Table143[[#This Row],[Region 2: Fixed Fee Per Case ($)]]</f>
        <v>0</v>
      </c>
      <c r="W61" s="77" t="e">
        <f>(Table143[[#This Row],[Commercial Bid Price per case for NOI ($)]]+Table143[[#This Row],[Region 2: Fixed Fee Per Case ($)]])/Table143[[#This Row],['# of CN Servings per case]]</f>
        <v>#DIV/0!</v>
      </c>
      <c r="X61" s="82" t="e">
        <f>Table143[[#This Row],[Total Cost Per Serving (O+Q)/J]]*Table143[[#This Row],[Estimated Servings Annual]]</f>
        <v>#DIV/0!</v>
      </c>
    </row>
    <row r="62" spans="1:24" x14ac:dyDescent="0.35">
      <c r="A62" s="30" t="s">
        <v>30</v>
      </c>
      <c r="B62" s="28" t="s">
        <v>97</v>
      </c>
      <c r="C62" s="7" t="s">
        <v>50</v>
      </c>
      <c r="D62" s="7"/>
      <c r="E62" s="7"/>
      <c r="F62" s="7"/>
      <c r="G62" s="7"/>
      <c r="H62" s="7"/>
      <c r="I62" s="7"/>
      <c r="J62" s="7"/>
      <c r="K62" s="49">
        <v>800000</v>
      </c>
      <c r="L62" s="7"/>
      <c r="M62" s="7"/>
      <c r="N62" s="7"/>
      <c r="O62" s="7"/>
      <c r="P62" s="7"/>
      <c r="Q62" s="7"/>
      <c r="R62" s="7"/>
      <c r="S62" s="81">
        <f>(Table143[[#This Row],[Commercial Bid Price per case for NOI ($)]]-Table143[[#This Row],[Pass-Thru Value per case ($)]])+Table143[[#This Row],[Region 1: Fixed Fee Per Case ($)]]</f>
        <v>0</v>
      </c>
      <c r="T62" s="77" t="e">
        <f>(Table143[[#This Row],[Commercial Bid Price per case for NOI ($)]]+Table143[[#This Row],[Region 1: Fixed Fee Per Case ($)]])/Table143[[#This Row],['# of CN Servings per case]]</f>
        <v>#DIV/0!</v>
      </c>
      <c r="U62" s="77" t="e">
        <f>Table143[[#This Row],[Total Cost Per Serving (O+P)/J]]*Table143[[#This Row],[Estimated Servings Annual]]</f>
        <v>#DIV/0!</v>
      </c>
      <c r="V62" s="81">
        <f>(Table143[[#This Row],[Commercial Bid Price per case for NOI ($)]]-Table143[[#This Row],[Pass-Thru Value per case ($)]])+Table143[[#This Row],[Region 2: Fixed Fee Per Case ($)]]</f>
        <v>0</v>
      </c>
      <c r="W62" s="77" t="e">
        <f>(Table143[[#This Row],[Commercial Bid Price per case for NOI ($)]]+Table143[[#This Row],[Region 2: Fixed Fee Per Case ($)]])/Table143[[#This Row],['# of CN Servings per case]]</f>
        <v>#DIV/0!</v>
      </c>
      <c r="X62" s="82" t="e">
        <f>Table143[[#This Row],[Total Cost Per Serving (O+Q)/J]]*Table143[[#This Row],[Estimated Servings Annual]]</f>
        <v>#DIV/0!</v>
      </c>
    </row>
    <row r="63" spans="1:24" x14ac:dyDescent="0.35">
      <c r="A63" s="30" t="s">
        <v>30</v>
      </c>
      <c r="B63" s="28" t="s">
        <v>97</v>
      </c>
      <c r="C63" s="7" t="s">
        <v>13</v>
      </c>
      <c r="D63" s="7"/>
      <c r="E63" s="7"/>
      <c r="F63" s="7"/>
      <c r="G63" s="7"/>
      <c r="H63" s="7"/>
      <c r="I63" s="7"/>
      <c r="J63" s="7"/>
      <c r="K63" s="49">
        <v>800000</v>
      </c>
      <c r="L63" s="7"/>
      <c r="M63" s="7"/>
      <c r="N63" s="7"/>
      <c r="O63" s="7"/>
      <c r="P63" s="7"/>
      <c r="Q63" s="7"/>
      <c r="R63" s="7"/>
      <c r="S63" s="81">
        <f>(Table143[[#This Row],[Commercial Bid Price per case for NOI ($)]]-Table143[[#This Row],[Pass-Thru Value per case ($)]])+Table143[[#This Row],[Region 1: Fixed Fee Per Case ($)]]</f>
        <v>0</v>
      </c>
      <c r="T63" s="77" t="e">
        <f>(Table143[[#This Row],[Commercial Bid Price per case for NOI ($)]]+Table143[[#This Row],[Region 1: Fixed Fee Per Case ($)]])/Table143[[#This Row],['# of CN Servings per case]]</f>
        <v>#DIV/0!</v>
      </c>
      <c r="U63" s="77" t="e">
        <f>Table143[[#This Row],[Total Cost Per Serving (O+P)/J]]*Table143[[#This Row],[Estimated Servings Annual]]</f>
        <v>#DIV/0!</v>
      </c>
      <c r="V63" s="81">
        <f>(Table143[[#This Row],[Commercial Bid Price per case for NOI ($)]]-Table143[[#This Row],[Pass-Thru Value per case ($)]])+Table143[[#This Row],[Region 2: Fixed Fee Per Case ($)]]</f>
        <v>0</v>
      </c>
      <c r="W63" s="77" t="e">
        <f>(Table143[[#This Row],[Commercial Bid Price per case for NOI ($)]]+Table143[[#This Row],[Region 2: Fixed Fee Per Case ($)]])/Table143[[#This Row],['# of CN Servings per case]]</f>
        <v>#DIV/0!</v>
      </c>
      <c r="X63" s="82" t="e">
        <f>Table143[[#This Row],[Total Cost Per Serving (O+Q)/J]]*Table143[[#This Row],[Estimated Servings Annual]]</f>
        <v>#DIV/0!</v>
      </c>
    </row>
    <row r="64" spans="1:24" x14ac:dyDescent="0.35">
      <c r="A64" s="30" t="s">
        <v>30</v>
      </c>
      <c r="B64" s="28" t="s">
        <v>97</v>
      </c>
      <c r="C64" s="7" t="s">
        <v>13</v>
      </c>
      <c r="D64" s="7"/>
      <c r="E64" s="7"/>
      <c r="F64" s="7"/>
      <c r="G64" s="7"/>
      <c r="H64" s="7"/>
      <c r="I64" s="7"/>
      <c r="J64" s="7"/>
      <c r="K64" s="49">
        <v>800000</v>
      </c>
      <c r="L64" s="7"/>
      <c r="M64" s="7"/>
      <c r="N64" s="7"/>
      <c r="O64" s="7"/>
      <c r="P64" s="7"/>
      <c r="Q64" s="7"/>
      <c r="R64" s="7"/>
      <c r="S64" s="81">
        <f>(Table143[[#This Row],[Commercial Bid Price per case for NOI ($)]]-Table143[[#This Row],[Pass-Thru Value per case ($)]])+Table143[[#This Row],[Region 1: Fixed Fee Per Case ($)]]</f>
        <v>0</v>
      </c>
      <c r="T64" s="77" t="e">
        <f>(Table143[[#This Row],[Commercial Bid Price per case for NOI ($)]]+Table143[[#This Row],[Region 1: Fixed Fee Per Case ($)]])/Table143[[#This Row],['# of CN Servings per case]]</f>
        <v>#DIV/0!</v>
      </c>
      <c r="U64" s="77" t="e">
        <f>Table143[[#This Row],[Total Cost Per Serving (O+P)/J]]*Table143[[#This Row],[Estimated Servings Annual]]</f>
        <v>#DIV/0!</v>
      </c>
      <c r="V64" s="81">
        <f>(Table143[[#This Row],[Commercial Bid Price per case for NOI ($)]]-Table143[[#This Row],[Pass-Thru Value per case ($)]])+Table143[[#This Row],[Region 2: Fixed Fee Per Case ($)]]</f>
        <v>0</v>
      </c>
      <c r="W64" s="77" t="e">
        <f>(Table143[[#This Row],[Commercial Bid Price per case for NOI ($)]]+Table143[[#This Row],[Region 2: Fixed Fee Per Case ($)]])/Table143[[#This Row],['# of CN Servings per case]]</f>
        <v>#DIV/0!</v>
      </c>
      <c r="X64" s="82" t="e">
        <f>Table143[[#This Row],[Total Cost Per Serving (O+Q)/J]]*Table143[[#This Row],[Estimated Servings Annual]]</f>
        <v>#DIV/0!</v>
      </c>
    </row>
    <row r="65" spans="1:24" x14ac:dyDescent="0.35">
      <c r="A65" s="30" t="s">
        <v>30</v>
      </c>
      <c r="B65" s="28" t="s">
        <v>97</v>
      </c>
      <c r="C65" s="7" t="s">
        <v>13</v>
      </c>
      <c r="D65" s="7"/>
      <c r="E65" s="7"/>
      <c r="F65" s="7"/>
      <c r="G65" s="7"/>
      <c r="H65" s="7"/>
      <c r="I65" s="7"/>
      <c r="J65" s="7"/>
      <c r="K65" s="49">
        <v>800000</v>
      </c>
      <c r="L65" s="7"/>
      <c r="M65" s="7"/>
      <c r="N65" s="7"/>
      <c r="O65" s="7"/>
      <c r="P65" s="7"/>
      <c r="Q65" s="7"/>
      <c r="R65" s="7"/>
      <c r="S65" s="81">
        <f>(Table143[[#This Row],[Commercial Bid Price per case for NOI ($)]]-Table143[[#This Row],[Pass-Thru Value per case ($)]])+Table143[[#This Row],[Region 1: Fixed Fee Per Case ($)]]</f>
        <v>0</v>
      </c>
      <c r="T65" s="77" t="e">
        <f>(Table143[[#This Row],[Commercial Bid Price per case for NOI ($)]]+Table143[[#This Row],[Region 1: Fixed Fee Per Case ($)]])/Table143[[#This Row],['# of CN Servings per case]]</f>
        <v>#DIV/0!</v>
      </c>
      <c r="U65" s="77" t="e">
        <f>Table143[[#This Row],[Total Cost Per Serving (O+P)/J]]*Table143[[#This Row],[Estimated Servings Annual]]</f>
        <v>#DIV/0!</v>
      </c>
      <c r="V65" s="81">
        <f>(Table143[[#This Row],[Commercial Bid Price per case for NOI ($)]]-Table143[[#This Row],[Pass-Thru Value per case ($)]])+Table143[[#This Row],[Region 2: Fixed Fee Per Case ($)]]</f>
        <v>0</v>
      </c>
      <c r="W65" s="77" t="e">
        <f>(Table143[[#This Row],[Commercial Bid Price per case for NOI ($)]]+Table143[[#This Row],[Region 2: Fixed Fee Per Case ($)]])/Table143[[#This Row],['# of CN Servings per case]]</f>
        <v>#DIV/0!</v>
      </c>
      <c r="X65" s="82" t="e">
        <f>Table143[[#This Row],[Total Cost Per Serving (O+Q)/J]]*Table143[[#This Row],[Estimated Servings Annual]]</f>
        <v>#DIV/0!</v>
      </c>
    </row>
    <row r="66" spans="1:24" ht="15" thickBot="1" x14ac:dyDescent="0.4">
      <c r="A66" s="30" t="s">
        <v>30</v>
      </c>
      <c r="B66" s="41" t="s">
        <v>97</v>
      </c>
      <c r="C66" s="8" t="s">
        <v>13</v>
      </c>
      <c r="D66" s="8"/>
      <c r="E66" s="8"/>
      <c r="F66" s="8"/>
      <c r="G66" s="8"/>
      <c r="H66" s="8"/>
      <c r="I66" s="8"/>
      <c r="J66" s="8"/>
      <c r="K66" s="50">
        <v>800000</v>
      </c>
      <c r="L66" s="8"/>
      <c r="M66" s="8"/>
      <c r="N66" s="8"/>
      <c r="O66" s="8"/>
      <c r="P66" s="8"/>
      <c r="Q66" s="8"/>
      <c r="R66" s="8"/>
      <c r="S66" s="83">
        <f>(Table143[[#This Row],[Commercial Bid Price per case for NOI ($)]]-Table143[[#This Row],[Pass-Thru Value per case ($)]])+Table143[[#This Row],[Region 1: Fixed Fee Per Case ($)]]</f>
        <v>0</v>
      </c>
      <c r="T66" s="78" t="e">
        <f>(Table143[[#This Row],[Commercial Bid Price per case for NOI ($)]]+Table143[[#This Row],[Region 1: Fixed Fee Per Case ($)]])/Table143[[#This Row],['# of CN Servings per case]]</f>
        <v>#DIV/0!</v>
      </c>
      <c r="U66" s="78" t="e">
        <f>Table143[[#This Row],[Total Cost Per Serving (O+P)/J]]*Table143[[#This Row],[Estimated Servings Annual]]</f>
        <v>#DIV/0!</v>
      </c>
      <c r="V66" s="83">
        <f>(Table143[[#This Row],[Commercial Bid Price per case for NOI ($)]]-Table143[[#This Row],[Pass-Thru Value per case ($)]])+Table143[[#This Row],[Region 2: Fixed Fee Per Case ($)]]</f>
        <v>0</v>
      </c>
      <c r="W66" s="78" t="e">
        <f>(Table143[[#This Row],[Commercial Bid Price per case for NOI ($)]]+Table143[[#This Row],[Region 2: Fixed Fee Per Case ($)]])/Table143[[#This Row],['# of CN Servings per case]]</f>
        <v>#DIV/0!</v>
      </c>
      <c r="X66" s="84" t="e">
        <f>Table143[[#This Row],[Total Cost Per Serving (O+Q)/J]]*Table143[[#This Row],[Estimated Servings Annual]]</f>
        <v>#DIV/0!</v>
      </c>
    </row>
    <row r="67" spans="1:24" x14ac:dyDescent="0.35">
      <c r="A67" s="30" t="s">
        <v>30</v>
      </c>
      <c r="B67" s="42" t="s">
        <v>98</v>
      </c>
      <c r="C67" s="6" t="s">
        <v>61</v>
      </c>
      <c r="D67" s="6"/>
      <c r="E67" s="6"/>
      <c r="F67" s="6"/>
      <c r="G67" s="6"/>
      <c r="H67" s="6"/>
      <c r="I67" s="6"/>
      <c r="J67" s="6"/>
      <c r="K67" s="48">
        <v>900000</v>
      </c>
      <c r="L67" s="6"/>
      <c r="M67" s="6"/>
      <c r="N67" s="6"/>
      <c r="O67" s="6"/>
      <c r="P67" s="6"/>
      <c r="Q67" s="6"/>
      <c r="R67" s="6"/>
      <c r="S67" s="79">
        <f>(Table143[[#This Row],[Commercial Bid Price per case for NOI ($)]]-Table143[[#This Row],[Pass-Thru Value per case ($)]])+Table143[[#This Row],[Region 1: Fixed Fee Per Case ($)]]</f>
        <v>0</v>
      </c>
      <c r="T67" s="76" t="e">
        <f>(Table143[[#This Row],[Commercial Bid Price per case for NOI ($)]]+Table143[[#This Row],[Region 1: Fixed Fee Per Case ($)]])/Table143[[#This Row],['# of CN Servings per case]]</f>
        <v>#DIV/0!</v>
      </c>
      <c r="U67" s="76" t="e">
        <f>Table143[[#This Row],[Total Cost Per Serving (O+P)/J]]*Table143[[#This Row],[Estimated Servings Annual]]</f>
        <v>#DIV/0!</v>
      </c>
      <c r="V67" s="79">
        <f>(Table143[[#This Row],[Commercial Bid Price per case for NOI ($)]]-Table143[[#This Row],[Pass-Thru Value per case ($)]])+Table143[[#This Row],[Region 2: Fixed Fee Per Case ($)]]</f>
        <v>0</v>
      </c>
      <c r="W67" s="76" t="e">
        <f>(Table143[[#This Row],[Commercial Bid Price per case for NOI ($)]]+Table143[[#This Row],[Region 2: Fixed Fee Per Case ($)]])/Table143[[#This Row],['# of CN Servings per case]]</f>
        <v>#DIV/0!</v>
      </c>
      <c r="X67" s="80" t="e">
        <f>Table143[[#This Row],[Total Cost Per Serving (O+Q)/J]]*Table143[[#This Row],[Estimated Servings Annual]]</f>
        <v>#DIV/0!</v>
      </c>
    </row>
    <row r="68" spans="1:24" x14ac:dyDescent="0.35">
      <c r="A68" s="30" t="s">
        <v>30</v>
      </c>
      <c r="B68" s="28" t="s">
        <v>98</v>
      </c>
      <c r="C68" s="7" t="s">
        <v>61</v>
      </c>
      <c r="D68" s="7"/>
      <c r="E68" s="7"/>
      <c r="F68" s="7"/>
      <c r="G68" s="7"/>
      <c r="H68" s="7"/>
      <c r="I68" s="7"/>
      <c r="J68" s="7"/>
      <c r="K68" s="49">
        <v>900000</v>
      </c>
      <c r="L68" s="7"/>
      <c r="M68" s="7"/>
      <c r="N68" s="7"/>
      <c r="O68" s="7"/>
      <c r="P68" s="7"/>
      <c r="Q68" s="7"/>
      <c r="R68" s="7"/>
      <c r="S68" s="81">
        <f>(Table143[[#This Row],[Commercial Bid Price per case for NOI ($)]]-Table143[[#This Row],[Pass-Thru Value per case ($)]])+Table143[[#This Row],[Region 1: Fixed Fee Per Case ($)]]</f>
        <v>0</v>
      </c>
      <c r="T68" s="77" t="e">
        <f>(Table143[[#This Row],[Commercial Bid Price per case for NOI ($)]]+Table143[[#This Row],[Region 1: Fixed Fee Per Case ($)]])/Table143[[#This Row],['# of CN Servings per case]]</f>
        <v>#DIV/0!</v>
      </c>
      <c r="U68" s="77" t="e">
        <f>Table143[[#This Row],[Total Cost Per Serving (O+P)/J]]*Table143[[#This Row],[Estimated Servings Annual]]</f>
        <v>#DIV/0!</v>
      </c>
      <c r="V68" s="81">
        <f>(Table143[[#This Row],[Commercial Bid Price per case for NOI ($)]]-Table143[[#This Row],[Pass-Thru Value per case ($)]])+Table143[[#This Row],[Region 2: Fixed Fee Per Case ($)]]</f>
        <v>0</v>
      </c>
      <c r="W68" s="77" t="e">
        <f>(Table143[[#This Row],[Commercial Bid Price per case for NOI ($)]]+Table143[[#This Row],[Region 2: Fixed Fee Per Case ($)]])/Table143[[#This Row],['# of CN Servings per case]]</f>
        <v>#DIV/0!</v>
      </c>
      <c r="X68" s="82" t="e">
        <f>Table143[[#This Row],[Total Cost Per Serving (O+Q)/J]]*Table143[[#This Row],[Estimated Servings Annual]]</f>
        <v>#DIV/0!</v>
      </c>
    </row>
    <row r="69" spans="1:24" x14ac:dyDescent="0.35">
      <c r="A69" s="30" t="s">
        <v>30</v>
      </c>
      <c r="B69" s="28" t="s">
        <v>98</v>
      </c>
      <c r="C69" s="7" t="s">
        <v>50</v>
      </c>
      <c r="D69" s="7"/>
      <c r="E69" s="7"/>
      <c r="F69" s="7"/>
      <c r="G69" s="7"/>
      <c r="H69" s="7"/>
      <c r="I69" s="7"/>
      <c r="J69" s="7"/>
      <c r="K69" s="49">
        <v>900000</v>
      </c>
      <c r="L69" s="7"/>
      <c r="M69" s="7"/>
      <c r="N69" s="7"/>
      <c r="O69" s="7"/>
      <c r="P69" s="7"/>
      <c r="Q69" s="7"/>
      <c r="R69" s="7"/>
      <c r="S69" s="81">
        <f>(Table143[[#This Row],[Commercial Bid Price per case for NOI ($)]]-Table143[[#This Row],[Pass-Thru Value per case ($)]])+Table143[[#This Row],[Region 1: Fixed Fee Per Case ($)]]</f>
        <v>0</v>
      </c>
      <c r="T69" s="77" t="e">
        <f>(Table143[[#This Row],[Commercial Bid Price per case for NOI ($)]]+Table143[[#This Row],[Region 1: Fixed Fee Per Case ($)]])/Table143[[#This Row],['# of CN Servings per case]]</f>
        <v>#DIV/0!</v>
      </c>
      <c r="U69" s="77" t="e">
        <f>Table143[[#This Row],[Total Cost Per Serving (O+P)/J]]*Table143[[#This Row],[Estimated Servings Annual]]</f>
        <v>#DIV/0!</v>
      </c>
      <c r="V69" s="81">
        <f>(Table143[[#This Row],[Commercial Bid Price per case for NOI ($)]]-Table143[[#This Row],[Pass-Thru Value per case ($)]])+Table143[[#This Row],[Region 2: Fixed Fee Per Case ($)]]</f>
        <v>0</v>
      </c>
      <c r="W69" s="77" t="e">
        <f>(Table143[[#This Row],[Commercial Bid Price per case for NOI ($)]]+Table143[[#This Row],[Region 2: Fixed Fee Per Case ($)]])/Table143[[#This Row],['# of CN Servings per case]]</f>
        <v>#DIV/0!</v>
      </c>
      <c r="X69" s="82" t="e">
        <f>Table143[[#This Row],[Total Cost Per Serving (O+Q)/J]]*Table143[[#This Row],[Estimated Servings Annual]]</f>
        <v>#DIV/0!</v>
      </c>
    </row>
    <row r="70" spans="1:24" x14ac:dyDescent="0.35">
      <c r="A70" s="30" t="s">
        <v>30</v>
      </c>
      <c r="B70" s="28" t="s">
        <v>98</v>
      </c>
      <c r="C70" s="7" t="s">
        <v>50</v>
      </c>
      <c r="D70" s="7"/>
      <c r="E70" s="7"/>
      <c r="F70" s="7"/>
      <c r="G70" s="7"/>
      <c r="H70" s="7"/>
      <c r="I70" s="7"/>
      <c r="J70" s="7"/>
      <c r="K70" s="49">
        <v>900000</v>
      </c>
      <c r="L70" s="7"/>
      <c r="M70" s="7"/>
      <c r="N70" s="7"/>
      <c r="O70" s="7"/>
      <c r="P70" s="7"/>
      <c r="Q70" s="7"/>
      <c r="R70" s="7"/>
      <c r="S70" s="81">
        <f>(Table143[[#This Row],[Commercial Bid Price per case for NOI ($)]]-Table143[[#This Row],[Pass-Thru Value per case ($)]])+Table143[[#This Row],[Region 1: Fixed Fee Per Case ($)]]</f>
        <v>0</v>
      </c>
      <c r="T70" s="77" t="e">
        <f>(Table143[[#This Row],[Commercial Bid Price per case for NOI ($)]]+Table143[[#This Row],[Region 1: Fixed Fee Per Case ($)]])/Table143[[#This Row],['# of CN Servings per case]]</f>
        <v>#DIV/0!</v>
      </c>
      <c r="U70" s="77" t="e">
        <f>Table143[[#This Row],[Total Cost Per Serving (O+P)/J]]*Table143[[#This Row],[Estimated Servings Annual]]</f>
        <v>#DIV/0!</v>
      </c>
      <c r="V70" s="81">
        <f>(Table143[[#This Row],[Commercial Bid Price per case for NOI ($)]]-Table143[[#This Row],[Pass-Thru Value per case ($)]])+Table143[[#This Row],[Region 2: Fixed Fee Per Case ($)]]</f>
        <v>0</v>
      </c>
      <c r="W70" s="77" t="e">
        <f>(Table143[[#This Row],[Commercial Bid Price per case for NOI ($)]]+Table143[[#This Row],[Region 2: Fixed Fee Per Case ($)]])/Table143[[#This Row],['# of CN Servings per case]]</f>
        <v>#DIV/0!</v>
      </c>
      <c r="X70" s="82" t="e">
        <f>Table143[[#This Row],[Total Cost Per Serving (O+Q)/J]]*Table143[[#This Row],[Estimated Servings Annual]]</f>
        <v>#DIV/0!</v>
      </c>
    </row>
    <row r="71" spans="1:24" x14ac:dyDescent="0.35">
      <c r="A71" s="30" t="s">
        <v>30</v>
      </c>
      <c r="B71" s="28" t="s">
        <v>98</v>
      </c>
      <c r="C71" s="7" t="s">
        <v>13</v>
      </c>
      <c r="D71" s="7"/>
      <c r="E71" s="7"/>
      <c r="F71" s="7"/>
      <c r="G71" s="7"/>
      <c r="H71" s="7"/>
      <c r="I71" s="7"/>
      <c r="J71" s="7"/>
      <c r="K71" s="49">
        <v>900000</v>
      </c>
      <c r="L71" s="7"/>
      <c r="M71" s="7"/>
      <c r="N71" s="7"/>
      <c r="O71" s="7"/>
      <c r="P71" s="7"/>
      <c r="Q71" s="7"/>
      <c r="R71" s="7"/>
      <c r="S71" s="81">
        <f>(Table143[[#This Row],[Commercial Bid Price per case for NOI ($)]]-Table143[[#This Row],[Pass-Thru Value per case ($)]])+Table143[[#This Row],[Region 1: Fixed Fee Per Case ($)]]</f>
        <v>0</v>
      </c>
      <c r="T71" s="77" t="e">
        <f>(Table143[[#This Row],[Commercial Bid Price per case for NOI ($)]]+Table143[[#This Row],[Region 1: Fixed Fee Per Case ($)]])/Table143[[#This Row],['# of CN Servings per case]]</f>
        <v>#DIV/0!</v>
      </c>
      <c r="U71" s="77" t="e">
        <f>Table143[[#This Row],[Total Cost Per Serving (O+P)/J]]*Table143[[#This Row],[Estimated Servings Annual]]</f>
        <v>#DIV/0!</v>
      </c>
      <c r="V71" s="81">
        <f>(Table143[[#This Row],[Commercial Bid Price per case for NOI ($)]]-Table143[[#This Row],[Pass-Thru Value per case ($)]])+Table143[[#This Row],[Region 2: Fixed Fee Per Case ($)]]</f>
        <v>0</v>
      </c>
      <c r="W71" s="77" t="e">
        <f>(Table143[[#This Row],[Commercial Bid Price per case for NOI ($)]]+Table143[[#This Row],[Region 2: Fixed Fee Per Case ($)]])/Table143[[#This Row],['# of CN Servings per case]]</f>
        <v>#DIV/0!</v>
      </c>
      <c r="X71" s="82" t="e">
        <f>Table143[[#This Row],[Total Cost Per Serving (O+Q)/J]]*Table143[[#This Row],[Estimated Servings Annual]]</f>
        <v>#DIV/0!</v>
      </c>
    </row>
    <row r="72" spans="1:24" x14ac:dyDescent="0.35">
      <c r="A72" s="30" t="s">
        <v>30</v>
      </c>
      <c r="B72" s="28" t="s">
        <v>98</v>
      </c>
      <c r="C72" s="7" t="s">
        <v>13</v>
      </c>
      <c r="D72" s="7"/>
      <c r="E72" s="7"/>
      <c r="F72" s="7"/>
      <c r="G72" s="7"/>
      <c r="H72" s="7"/>
      <c r="I72" s="7"/>
      <c r="J72" s="7"/>
      <c r="K72" s="49">
        <v>900000</v>
      </c>
      <c r="L72" s="7"/>
      <c r="M72" s="7"/>
      <c r="N72" s="7"/>
      <c r="O72" s="7"/>
      <c r="P72" s="7"/>
      <c r="Q72" s="7"/>
      <c r="R72" s="7"/>
      <c r="S72" s="81">
        <f>(Table143[[#This Row],[Commercial Bid Price per case for NOI ($)]]-Table143[[#This Row],[Pass-Thru Value per case ($)]])+Table143[[#This Row],[Region 1: Fixed Fee Per Case ($)]]</f>
        <v>0</v>
      </c>
      <c r="T72" s="77" t="e">
        <f>(Table143[[#This Row],[Commercial Bid Price per case for NOI ($)]]+Table143[[#This Row],[Region 1: Fixed Fee Per Case ($)]])/Table143[[#This Row],['# of CN Servings per case]]</f>
        <v>#DIV/0!</v>
      </c>
      <c r="U72" s="77" t="e">
        <f>Table143[[#This Row],[Total Cost Per Serving (O+P)/J]]*Table143[[#This Row],[Estimated Servings Annual]]</f>
        <v>#DIV/0!</v>
      </c>
      <c r="V72" s="81">
        <f>(Table143[[#This Row],[Commercial Bid Price per case for NOI ($)]]-Table143[[#This Row],[Pass-Thru Value per case ($)]])+Table143[[#This Row],[Region 2: Fixed Fee Per Case ($)]]</f>
        <v>0</v>
      </c>
      <c r="W72" s="77" t="e">
        <f>(Table143[[#This Row],[Commercial Bid Price per case for NOI ($)]]+Table143[[#This Row],[Region 2: Fixed Fee Per Case ($)]])/Table143[[#This Row],['# of CN Servings per case]]</f>
        <v>#DIV/0!</v>
      </c>
      <c r="X72" s="82" t="e">
        <f>Table143[[#This Row],[Total Cost Per Serving (O+Q)/J]]*Table143[[#This Row],[Estimated Servings Annual]]</f>
        <v>#DIV/0!</v>
      </c>
    </row>
    <row r="73" spans="1:24" x14ac:dyDescent="0.35">
      <c r="A73" s="30" t="s">
        <v>30</v>
      </c>
      <c r="B73" s="28" t="s">
        <v>98</v>
      </c>
      <c r="C73" s="7" t="s">
        <v>13</v>
      </c>
      <c r="D73" s="7"/>
      <c r="E73" s="7"/>
      <c r="F73" s="7"/>
      <c r="G73" s="7"/>
      <c r="H73" s="7"/>
      <c r="I73" s="7"/>
      <c r="J73" s="7"/>
      <c r="K73" s="49">
        <v>900000</v>
      </c>
      <c r="L73" s="7"/>
      <c r="M73" s="7"/>
      <c r="N73" s="7"/>
      <c r="O73" s="7"/>
      <c r="P73" s="7"/>
      <c r="Q73" s="7"/>
      <c r="R73" s="7"/>
      <c r="S73" s="81">
        <f>(Table143[[#This Row],[Commercial Bid Price per case for NOI ($)]]-Table143[[#This Row],[Pass-Thru Value per case ($)]])+Table143[[#This Row],[Region 1: Fixed Fee Per Case ($)]]</f>
        <v>0</v>
      </c>
      <c r="T73" s="77" t="e">
        <f>(Table143[[#This Row],[Commercial Bid Price per case for NOI ($)]]+Table143[[#This Row],[Region 1: Fixed Fee Per Case ($)]])/Table143[[#This Row],['# of CN Servings per case]]</f>
        <v>#DIV/0!</v>
      </c>
      <c r="U73" s="77" t="e">
        <f>Table143[[#This Row],[Total Cost Per Serving (O+P)/J]]*Table143[[#This Row],[Estimated Servings Annual]]</f>
        <v>#DIV/0!</v>
      </c>
      <c r="V73" s="81">
        <f>(Table143[[#This Row],[Commercial Bid Price per case for NOI ($)]]-Table143[[#This Row],[Pass-Thru Value per case ($)]])+Table143[[#This Row],[Region 2: Fixed Fee Per Case ($)]]</f>
        <v>0</v>
      </c>
      <c r="W73" s="77" t="e">
        <f>(Table143[[#This Row],[Commercial Bid Price per case for NOI ($)]]+Table143[[#This Row],[Region 2: Fixed Fee Per Case ($)]])/Table143[[#This Row],['# of CN Servings per case]]</f>
        <v>#DIV/0!</v>
      </c>
      <c r="X73" s="82" t="e">
        <f>Table143[[#This Row],[Total Cost Per Serving (O+Q)/J]]*Table143[[#This Row],[Estimated Servings Annual]]</f>
        <v>#DIV/0!</v>
      </c>
    </row>
    <row r="74" spans="1:24" ht="15" thickBot="1" x14ac:dyDescent="0.4">
      <c r="A74" s="30" t="s">
        <v>30</v>
      </c>
      <c r="B74" s="41" t="s">
        <v>98</v>
      </c>
      <c r="C74" s="8" t="s">
        <v>13</v>
      </c>
      <c r="D74" s="8"/>
      <c r="E74" s="8"/>
      <c r="F74" s="8"/>
      <c r="G74" s="8"/>
      <c r="H74" s="8"/>
      <c r="I74" s="8"/>
      <c r="J74" s="8"/>
      <c r="K74" s="50">
        <v>900000</v>
      </c>
      <c r="L74" s="8"/>
      <c r="M74" s="8"/>
      <c r="N74" s="8"/>
      <c r="O74" s="8"/>
      <c r="P74" s="8"/>
      <c r="Q74" s="8"/>
      <c r="R74" s="8"/>
      <c r="S74" s="83">
        <f>(Table143[[#This Row],[Commercial Bid Price per case for NOI ($)]]-Table143[[#This Row],[Pass-Thru Value per case ($)]])+Table143[[#This Row],[Region 1: Fixed Fee Per Case ($)]]</f>
        <v>0</v>
      </c>
      <c r="T74" s="78" t="e">
        <f>(Table143[[#This Row],[Commercial Bid Price per case for NOI ($)]]+Table143[[#This Row],[Region 1: Fixed Fee Per Case ($)]])/Table143[[#This Row],['# of CN Servings per case]]</f>
        <v>#DIV/0!</v>
      </c>
      <c r="U74" s="78" t="e">
        <f>Table143[[#This Row],[Total Cost Per Serving (O+P)/J]]*Table143[[#This Row],[Estimated Servings Annual]]</f>
        <v>#DIV/0!</v>
      </c>
      <c r="V74" s="83">
        <f>(Table143[[#This Row],[Commercial Bid Price per case for NOI ($)]]-Table143[[#This Row],[Pass-Thru Value per case ($)]])+Table143[[#This Row],[Region 2: Fixed Fee Per Case ($)]]</f>
        <v>0</v>
      </c>
      <c r="W74" s="78" t="e">
        <f>(Table143[[#This Row],[Commercial Bid Price per case for NOI ($)]]+Table143[[#This Row],[Region 2: Fixed Fee Per Case ($)]])/Table143[[#This Row],['# of CN Servings per case]]</f>
        <v>#DIV/0!</v>
      </c>
      <c r="X74" s="84" t="e">
        <f>Table143[[#This Row],[Total Cost Per Serving (O+Q)/J]]*Table143[[#This Row],[Estimated Servings Annual]]</f>
        <v>#DIV/0!</v>
      </c>
    </row>
    <row r="75" spans="1:24" x14ac:dyDescent="0.35">
      <c r="A75" s="30" t="s">
        <v>30</v>
      </c>
      <c r="B75" s="42" t="s">
        <v>99</v>
      </c>
      <c r="C75" s="6" t="s">
        <v>61</v>
      </c>
      <c r="D75" s="6"/>
      <c r="E75" s="6"/>
      <c r="F75" s="6"/>
      <c r="G75" s="6"/>
      <c r="H75" s="6"/>
      <c r="I75" s="6"/>
      <c r="J75" s="6"/>
      <c r="K75" s="48">
        <v>200000</v>
      </c>
      <c r="L75" s="6"/>
      <c r="M75" s="6"/>
      <c r="N75" s="6"/>
      <c r="O75" s="6"/>
      <c r="P75" s="6"/>
      <c r="Q75" s="6"/>
      <c r="R75" s="6"/>
      <c r="S75" s="79">
        <f>(Table143[[#This Row],[Commercial Bid Price per case for NOI ($)]]-Table143[[#This Row],[Pass-Thru Value per case ($)]])+Table143[[#This Row],[Region 1: Fixed Fee Per Case ($)]]</f>
        <v>0</v>
      </c>
      <c r="T75" s="76" t="e">
        <f>(Table143[[#This Row],[Commercial Bid Price per case for NOI ($)]]+Table143[[#This Row],[Region 1: Fixed Fee Per Case ($)]])/Table143[[#This Row],['# of CN Servings per case]]</f>
        <v>#DIV/0!</v>
      </c>
      <c r="U75" s="76" t="e">
        <f>Table143[[#This Row],[Total Cost Per Serving (O+P)/J]]*Table143[[#This Row],[Estimated Servings Annual]]</f>
        <v>#DIV/0!</v>
      </c>
      <c r="V75" s="79">
        <f>(Table143[[#This Row],[Commercial Bid Price per case for NOI ($)]]-Table143[[#This Row],[Pass-Thru Value per case ($)]])+Table143[[#This Row],[Region 2: Fixed Fee Per Case ($)]]</f>
        <v>0</v>
      </c>
      <c r="W75" s="76" t="e">
        <f>(Table143[[#This Row],[Commercial Bid Price per case for NOI ($)]]+Table143[[#This Row],[Region 2: Fixed Fee Per Case ($)]])/Table143[[#This Row],['# of CN Servings per case]]</f>
        <v>#DIV/0!</v>
      </c>
      <c r="X75" s="80" t="e">
        <f>Table143[[#This Row],[Total Cost Per Serving (O+Q)/J]]*Table143[[#This Row],[Estimated Servings Annual]]</f>
        <v>#DIV/0!</v>
      </c>
    </row>
    <row r="76" spans="1:24" x14ac:dyDescent="0.35">
      <c r="A76" s="30" t="s">
        <v>30</v>
      </c>
      <c r="B76" s="46" t="s">
        <v>99</v>
      </c>
      <c r="C76" s="7" t="s">
        <v>61</v>
      </c>
      <c r="D76" s="7"/>
      <c r="E76" s="7"/>
      <c r="F76" s="7"/>
      <c r="G76" s="7"/>
      <c r="H76" s="7"/>
      <c r="I76" s="7"/>
      <c r="J76" s="7"/>
      <c r="K76" s="49">
        <v>200000</v>
      </c>
      <c r="L76" s="7"/>
      <c r="M76" s="7"/>
      <c r="N76" s="7"/>
      <c r="O76" s="7"/>
      <c r="P76" s="7"/>
      <c r="Q76" s="7"/>
      <c r="R76" s="7"/>
      <c r="S76" s="81">
        <f>(Table143[[#This Row],[Commercial Bid Price per case for NOI ($)]]-Table143[[#This Row],[Pass-Thru Value per case ($)]])+Table143[[#This Row],[Region 1: Fixed Fee Per Case ($)]]</f>
        <v>0</v>
      </c>
      <c r="T76" s="77" t="e">
        <f>(Table143[[#This Row],[Commercial Bid Price per case for NOI ($)]]+Table143[[#This Row],[Region 1: Fixed Fee Per Case ($)]])/Table143[[#This Row],['# of CN Servings per case]]</f>
        <v>#DIV/0!</v>
      </c>
      <c r="U76" s="77" t="e">
        <f>Table143[[#This Row],[Total Cost Per Serving (O+P)/J]]*Table143[[#This Row],[Estimated Servings Annual]]</f>
        <v>#DIV/0!</v>
      </c>
      <c r="V76" s="81">
        <f>(Table143[[#This Row],[Commercial Bid Price per case for NOI ($)]]-Table143[[#This Row],[Pass-Thru Value per case ($)]])+Table143[[#This Row],[Region 2: Fixed Fee Per Case ($)]]</f>
        <v>0</v>
      </c>
      <c r="W76" s="77" t="e">
        <f>(Table143[[#This Row],[Commercial Bid Price per case for NOI ($)]]+Table143[[#This Row],[Region 2: Fixed Fee Per Case ($)]])/Table143[[#This Row],['# of CN Servings per case]]</f>
        <v>#DIV/0!</v>
      </c>
      <c r="X76" s="82" t="e">
        <f>Table143[[#This Row],[Total Cost Per Serving (O+Q)/J]]*Table143[[#This Row],[Estimated Servings Annual]]</f>
        <v>#DIV/0!</v>
      </c>
    </row>
    <row r="77" spans="1:24" x14ac:dyDescent="0.35">
      <c r="A77" s="30" t="s">
        <v>30</v>
      </c>
      <c r="B77" s="46" t="s">
        <v>99</v>
      </c>
      <c r="C77" s="7" t="s">
        <v>50</v>
      </c>
      <c r="D77" s="7"/>
      <c r="E77" s="7"/>
      <c r="F77" s="7"/>
      <c r="G77" s="7"/>
      <c r="H77" s="7"/>
      <c r="I77" s="7"/>
      <c r="J77" s="7"/>
      <c r="K77" s="49">
        <v>200000</v>
      </c>
      <c r="L77" s="7"/>
      <c r="M77" s="7"/>
      <c r="N77" s="7"/>
      <c r="O77" s="7"/>
      <c r="P77" s="7"/>
      <c r="Q77" s="7"/>
      <c r="R77" s="7"/>
      <c r="S77" s="81">
        <f>(Table143[[#This Row],[Commercial Bid Price per case for NOI ($)]]-Table143[[#This Row],[Pass-Thru Value per case ($)]])+Table143[[#This Row],[Region 1: Fixed Fee Per Case ($)]]</f>
        <v>0</v>
      </c>
      <c r="T77" s="77" t="e">
        <f>(Table143[[#This Row],[Commercial Bid Price per case for NOI ($)]]+Table143[[#This Row],[Region 1: Fixed Fee Per Case ($)]])/Table143[[#This Row],['# of CN Servings per case]]</f>
        <v>#DIV/0!</v>
      </c>
      <c r="U77" s="77" t="e">
        <f>Table143[[#This Row],[Total Cost Per Serving (O+P)/J]]*Table143[[#This Row],[Estimated Servings Annual]]</f>
        <v>#DIV/0!</v>
      </c>
      <c r="V77" s="81">
        <f>(Table143[[#This Row],[Commercial Bid Price per case for NOI ($)]]-Table143[[#This Row],[Pass-Thru Value per case ($)]])+Table143[[#This Row],[Region 2: Fixed Fee Per Case ($)]]</f>
        <v>0</v>
      </c>
      <c r="W77" s="77" t="e">
        <f>(Table143[[#This Row],[Commercial Bid Price per case for NOI ($)]]+Table143[[#This Row],[Region 2: Fixed Fee Per Case ($)]])/Table143[[#This Row],['# of CN Servings per case]]</f>
        <v>#DIV/0!</v>
      </c>
      <c r="X77" s="82" t="e">
        <f>Table143[[#This Row],[Total Cost Per Serving (O+Q)/J]]*Table143[[#This Row],[Estimated Servings Annual]]</f>
        <v>#DIV/0!</v>
      </c>
    </row>
    <row r="78" spans="1:24" x14ac:dyDescent="0.35">
      <c r="A78" s="30" t="s">
        <v>30</v>
      </c>
      <c r="B78" s="46" t="s">
        <v>99</v>
      </c>
      <c r="C78" s="7" t="s">
        <v>50</v>
      </c>
      <c r="D78" s="7"/>
      <c r="E78" s="7"/>
      <c r="F78" s="7"/>
      <c r="G78" s="7"/>
      <c r="H78" s="7"/>
      <c r="I78" s="7"/>
      <c r="J78" s="7"/>
      <c r="K78" s="49">
        <v>200000</v>
      </c>
      <c r="L78" s="7"/>
      <c r="M78" s="7"/>
      <c r="N78" s="7"/>
      <c r="O78" s="7"/>
      <c r="P78" s="7"/>
      <c r="Q78" s="7"/>
      <c r="R78" s="7"/>
      <c r="S78" s="81">
        <f>(Table143[[#This Row],[Commercial Bid Price per case for NOI ($)]]-Table143[[#This Row],[Pass-Thru Value per case ($)]])+Table143[[#This Row],[Region 1: Fixed Fee Per Case ($)]]</f>
        <v>0</v>
      </c>
      <c r="T78" s="77" t="e">
        <f>(Table143[[#This Row],[Commercial Bid Price per case for NOI ($)]]+Table143[[#This Row],[Region 1: Fixed Fee Per Case ($)]])/Table143[[#This Row],['# of CN Servings per case]]</f>
        <v>#DIV/0!</v>
      </c>
      <c r="U78" s="77" t="e">
        <f>Table143[[#This Row],[Total Cost Per Serving (O+P)/J]]*Table143[[#This Row],[Estimated Servings Annual]]</f>
        <v>#DIV/0!</v>
      </c>
      <c r="V78" s="81">
        <f>(Table143[[#This Row],[Commercial Bid Price per case for NOI ($)]]-Table143[[#This Row],[Pass-Thru Value per case ($)]])+Table143[[#This Row],[Region 2: Fixed Fee Per Case ($)]]</f>
        <v>0</v>
      </c>
      <c r="W78" s="77" t="e">
        <f>(Table143[[#This Row],[Commercial Bid Price per case for NOI ($)]]+Table143[[#This Row],[Region 2: Fixed Fee Per Case ($)]])/Table143[[#This Row],['# of CN Servings per case]]</f>
        <v>#DIV/0!</v>
      </c>
      <c r="X78" s="82" t="e">
        <f>Table143[[#This Row],[Total Cost Per Serving (O+Q)/J]]*Table143[[#This Row],[Estimated Servings Annual]]</f>
        <v>#DIV/0!</v>
      </c>
    </row>
    <row r="79" spans="1:24" x14ac:dyDescent="0.35">
      <c r="A79" s="30" t="s">
        <v>30</v>
      </c>
      <c r="B79" s="46" t="s">
        <v>99</v>
      </c>
      <c r="C79" s="7" t="s">
        <v>13</v>
      </c>
      <c r="D79" s="7"/>
      <c r="E79" s="7"/>
      <c r="F79" s="7"/>
      <c r="G79" s="7"/>
      <c r="H79" s="7"/>
      <c r="I79" s="7"/>
      <c r="J79" s="7"/>
      <c r="K79" s="49">
        <v>200000</v>
      </c>
      <c r="L79" s="7"/>
      <c r="M79" s="7"/>
      <c r="N79" s="7"/>
      <c r="O79" s="7"/>
      <c r="P79" s="7"/>
      <c r="Q79" s="7"/>
      <c r="R79" s="7"/>
      <c r="S79" s="81">
        <f>(Table143[[#This Row],[Commercial Bid Price per case for NOI ($)]]-Table143[[#This Row],[Pass-Thru Value per case ($)]])+Table143[[#This Row],[Region 1: Fixed Fee Per Case ($)]]</f>
        <v>0</v>
      </c>
      <c r="T79" s="77" t="e">
        <f>(Table143[[#This Row],[Commercial Bid Price per case for NOI ($)]]+Table143[[#This Row],[Region 1: Fixed Fee Per Case ($)]])/Table143[[#This Row],['# of CN Servings per case]]</f>
        <v>#DIV/0!</v>
      </c>
      <c r="U79" s="77" t="e">
        <f>Table143[[#This Row],[Total Cost Per Serving (O+P)/J]]*Table143[[#This Row],[Estimated Servings Annual]]</f>
        <v>#DIV/0!</v>
      </c>
      <c r="V79" s="81">
        <f>(Table143[[#This Row],[Commercial Bid Price per case for NOI ($)]]-Table143[[#This Row],[Pass-Thru Value per case ($)]])+Table143[[#This Row],[Region 2: Fixed Fee Per Case ($)]]</f>
        <v>0</v>
      </c>
      <c r="W79" s="77" t="e">
        <f>(Table143[[#This Row],[Commercial Bid Price per case for NOI ($)]]+Table143[[#This Row],[Region 2: Fixed Fee Per Case ($)]])/Table143[[#This Row],['# of CN Servings per case]]</f>
        <v>#DIV/0!</v>
      </c>
      <c r="X79" s="82" t="e">
        <f>Table143[[#This Row],[Total Cost Per Serving (O+Q)/J]]*Table143[[#This Row],[Estimated Servings Annual]]</f>
        <v>#DIV/0!</v>
      </c>
    </row>
    <row r="80" spans="1:24" x14ac:dyDescent="0.35">
      <c r="A80" s="30" t="s">
        <v>30</v>
      </c>
      <c r="B80" s="46" t="s">
        <v>99</v>
      </c>
      <c r="C80" s="7" t="s">
        <v>13</v>
      </c>
      <c r="D80" s="7"/>
      <c r="E80" s="7"/>
      <c r="F80" s="7"/>
      <c r="G80" s="7"/>
      <c r="H80" s="7"/>
      <c r="I80" s="7"/>
      <c r="J80" s="7"/>
      <c r="K80" s="49">
        <v>200000</v>
      </c>
      <c r="L80" s="7"/>
      <c r="M80" s="7"/>
      <c r="N80" s="7"/>
      <c r="O80" s="7"/>
      <c r="P80" s="7"/>
      <c r="Q80" s="7"/>
      <c r="R80" s="7"/>
      <c r="S80" s="81">
        <f>(Table143[[#This Row],[Commercial Bid Price per case for NOI ($)]]-Table143[[#This Row],[Pass-Thru Value per case ($)]])+Table143[[#This Row],[Region 1: Fixed Fee Per Case ($)]]</f>
        <v>0</v>
      </c>
      <c r="T80" s="77" t="e">
        <f>(Table143[[#This Row],[Commercial Bid Price per case for NOI ($)]]+Table143[[#This Row],[Region 1: Fixed Fee Per Case ($)]])/Table143[[#This Row],['# of CN Servings per case]]</f>
        <v>#DIV/0!</v>
      </c>
      <c r="U80" s="77" t="e">
        <f>Table143[[#This Row],[Total Cost Per Serving (O+P)/J]]*Table143[[#This Row],[Estimated Servings Annual]]</f>
        <v>#DIV/0!</v>
      </c>
      <c r="V80" s="81">
        <f>(Table143[[#This Row],[Commercial Bid Price per case for NOI ($)]]-Table143[[#This Row],[Pass-Thru Value per case ($)]])+Table143[[#This Row],[Region 2: Fixed Fee Per Case ($)]]</f>
        <v>0</v>
      </c>
      <c r="W80" s="77" t="e">
        <f>(Table143[[#This Row],[Commercial Bid Price per case for NOI ($)]]+Table143[[#This Row],[Region 2: Fixed Fee Per Case ($)]])/Table143[[#This Row],['# of CN Servings per case]]</f>
        <v>#DIV/0!</v>
      </c>
      <c r="X80" s="82" t="e">
        <f>Table143[[#This Row],[Total Cost Per Serving (O+Q)/J]]*Table143[[#This Row],[Estimated Servings Annual]]</f>
        <v>#DIV/0!</v>
      </c>
    </row>
    <row r="81" spans="1:24" x14ac:dyDescent="0.35">
      <c r="A81" s="30" t="s">
        <v>30</v>
      </c>
      <c r="B81" s="46" t="s">
        <v>99</v>
      </c>
      <c r="C81" s="7" t="s">
        <v>13</v>
      </c>
      <c r="D81" s="7"/>
      <c r="E81" s="7"/>
      <c r="F81" s="7"/>
      <c r="G81" s="7"/>
      <c r="H81" s="7"/>
      <c r="I81" s="7"/>
      <c r="J81" s="7"/>
      <c r="K81" s="49">
        <v>200000</v>
      </c>
      <c r="L81" s="7"/>
      <c r="M81" s="7"/>
      <c r="N81" s="7"/>
      <c r="O81" s="7"/>
      <c r="P81" s="7"/>
      <c r="Q81" s="7"/>
      <c r="R81" s="7"/>
      <c r="S81" s="81">
        <f>(Table143[[#This Row],[Commercial Bid Price per case for NOI ($)]]-Table143[[#This Row],[Pass-Thru Value per case ($)]])+Table143[[#This Row],[Region 1: Fixed Fee Per Case ($)]]</f>
        <v>0</v>
      </c>
      <c r="T81" s="77" t="e">
        <f>(Table143[[#This Row],[Commercial Bid Price per case for NOI ($)]]+Table143[[#This Row],[Region 1: Fixed Fee Per Case ($)]])/Table143[[#This Row],['# of CN Servings per case]]</f>
        <v>#DIV/0!</v>
      </c>
      <c r="U81" s="77" t="e">
        <f>Table143[[#This Row],[Total Cost Per Serving (O+P)/J]]*Table143[[#This Row],[Estimated Servings Annual]]</f>
        <v>#DIV/0!</v>
      </c>
      <c r="V81" s="81">
        <f>(Table143[[#This Row],[Commercial Bid Price per case for NOI ($)]]-Table143[[#This Row],[Pass-Thru Value per case ($)]])+Table143[[#This Row],[Region 2: Fixed Fee Per Case ($)]]</f>
        <v>0</v>
      </c>
      <c r="W81" s="77" t="e">
        <f>(Table143[[#This Row],[Commercial Bid Price per case for NOI ($)]]+Table143[[#This Row],[Region 2: Fixed Fee Per Case ($)]])/Table143[[#This Row],['# of CN Servings per case]]</f>
        <v>#DIV/0!</v>
      </c>
      <c r="X81" s="82" t="e">
        <f>Table143[[#This Row],[Total Cost Per Serving (O+Q)/J]]*Table143[[#This Row],[Estimated Servings Annual]]</f>
        <v>#DIV/0!</v>
      </c>
    </row>
    <row r="82" spans="1:24" ht="15" thickBot="1" x14ac:dyDescent="0.4">
      <c r="A82" s="30" t="s">
        <v>30</v>
      </c>
      <c r="B82" s="47" t="s">
        <v>99</v>
      </c>
      <c r="C82" s="8" t="s">
        <v>13</v>
      </c>
      <c r="D82" s="8"/>
      <c r="E82" s="8"/>
      <c r="F82" s="8"/>
      <c r="G82" s="8"/>
      <c r="H82" s="8"/>
      <c r="I82" s="8"/>
      <c r="J82" s="8"/>
      <c r="K82" s="50">
        <v>200000</v>
      </c>
      <c r="L82" s="8"/>
      <c r="M82" s="8"/>
      <c r="N82" s="8"/>
      <c r="O82" s="8"/>
      <c r="P82" s="8"/>
      <c r="Q82" s="8"/>
      <c r="R82" s="8"/>
      <c r="S82" s="83">
        <f>(Table143[[#This Row],[Commercial Bid Price per case for NOI ($)]]-Table143[[#This Row],[Pass-Thru Value per case ($)]])+Table143[[#This Row],[Region 1: Fixed Fee Per Case ($)]]</f>
        <v>0</v>
      </c>
      <c r="T82" s="78" t="e">
        <f>(Table143[[#This Row],[Commercial Bid Price per case for NOI ($)]]+Table143[[#This Row],[Region 1: Fixed Fee Per Case ($)]])/Table143[[#This Row],['# of CN Servings per case]]</f>
        <v>#DIV/0!</v>
      </c>
      <c r="U82" s="78" t="e">
        <f>Table143[[#This Row],[Total Cost Per Serving (O+P)/J]]*Table143[[#This Row],[Estimated Servings Annual]]</f>
        <v>#DIV/0!</v>
      </c>
      <c r="V82" s="83">
        <f>(Table143[[#This Row],[Commercial Bid Price per case for NOI ($)]]-Table143[[#This Row],[Pass-Thru Value per case ($)]])+Table143[[#This Row],[Region 2: Fixed Fee Per Case ($)]]</f>
        <v>0</v>
      </c>
      <c r="W82" s="78" t="e">
        <f>(Table143[[#This Row],[Commercial Bid Price per case for NOI ($)]]+Table143[[#This Row],[Region 2: Fixed Fee Per Case ($)]])/Table143[[#This Row],['# of CN Servings per case]]</f>
        <v>#DIV/0!</v>
      </c>
      <c r="X82" s="84" t="e">
        <f>Table143[[#This Row],[Total Cost Per Serving (O+Q)/J]]*Table143[[#This Row],[Estimated Servings Annual]]</f>
        <v>#DIV/0!</v>
      </c>
    </row>
    <row r="83" spans="1:24" x14ac:dyDescent="0.35">
      <c r="A83" s="30" t="s">
        <v>30</v>
      </c>
      <c r="B83" s="46" t="s">
        <v>100</v>
      </c>
      <c r="C83" s="6" t="s">
        <v>61</v>
      </c>
      <c r="D83" s="38"/>
      <c r="E83" s="38"/>
      <c r="F83" s="38"/>
      <c r="G83" s="38"/>
      <c r="H83" s="38"/>
      <c r="I83" s="38"/>
      <c r="J83" s="38"/>
      <c r="K83" s="51">
        <v>800000</v>
      </c>
      <c r="L83" s="38"/>
      <c r="M83" s="38"/>
      <c r="N83" s="38"/>
      <c r="O83" s="38"/>
      <c r="P83" s="38"/>
      <c r="Q83" s="38"/>
      <c r="R83" s="38"/>
      <c r="S83" s="88">
        <f>(Table143[[#This Row],[Commercial Bid Price per case for NOI ($)]]-Table143[[#This Row],[Pass-Thru Value per case ($)]])+Table143[[#This Row],[Region 1: Fixed Fee Per Case ($)]]</f>
        <v>0</v>
      </c>
      <c r="T83" s="89" t="e">
        <f>(Table143[[#This Row],[Commercial Bid Price per case for NOI ($)]]+Table143[[#This Row],[Region 1: Fixed Fee Per Case ($)]])/Table143[[#This Row],['# of CN Servings per case]]</f>
        <v>#DIV/0!</v>
      </c>
      <c r="U83" s="89" t="e">
        <f>Table143[[#This Row],[Total Cost Per Serving (O+P)/J]]*Table143[[#This Row],[Estimated Servings Annual]]</f>
        <v>#DIV/0!</v>
      </c>
      <c r="V83" s="88">
        <f>(Table143[[#This Row],[Commercial Bid Price per case for NOI ($)]]-Table143[[#This Row],[Pass-Thru Value per case ($)]])+Table143[[#This Row],[Region 2: Fixed Fee Per Case ($)]]</f>
        <v>0</v>
      </c>
      <c r="W83" s="89" t="e">
        <f>(Table143[[#This Row],[Commercial Bid Price per case for NOI ($)]]+Table143[[#This Row],[Region 2: Fixed Fee Per Case ($)]])/Table143[[#This Row],['# of CN Servings per case]]</f>
        <v>#DIV/0!</v>
      </c>
      <c r="X83" s="89" t="e">
        <f>Table143[[#This Row],[Total Cost Per Serving (O+Q)/J]]*Table143[[#This Row],[Estimated Servings Annual]]</f>
        <v>#DIV/0!</v>
      </c>
    </row>
    <row r="84" spans="1:24" x14ac:dyDescent="0.35">
      <c r="A84" s="30" t="s">
        <v>30</v>
      </c>
      <c r="B84" s="28" t="s">
        <v>100</v>
      </c>
      <c r="C84" s="7" t="s">
        <v>61</v>
      </c>
      <c r="D84" s="7"/>
      <c r="E84" s="7"/>
      <c r="F84" s="7"/>
      <c r="G84" s="7"/>
      <c r="H84" s="7"/>
      <c r="I84" s="7"/>
      <c r="J84" s="7"/>
      <c r="K84" s="51">
        <v>800000</v>
      </c>
      <c r="L84" s="7"/>
      <c r="M84" s="7"/>
      <c r="N84" s="7"/>
      <c r="O84" s="7"/>
      <c r="P84" s="7"/>
      <c r="Q84" s="7"/>
      <c r="R84" s="7"/>
      <c r="S84" s="81">
        <f>(Table143[[#This Row],[Commercial Bid Price per case for NOI ($)]]-Table143[[#This Row],[Pass-Thru Value per case ($)]])+Table143[[#This Row],[Region 1: Fixed Fee Per Case ($)]]</f>
        <v>0</v>
      </c>
      <c r="T84" s="77" t="e">
        <f>(Table143[[#This Row],[Commercial Bid Price per case for NOI ($)]]+Table143[[#This Row],[Region 1: Fixed Fee Per Case ($)]])/Table143[[#This Row],['# of CN Servings per case]]</f>
        <v>#DIV/0!</v>
      </c>
      <c r="U84" s="77" t="e">
        <f>Table143[[#This Row],[Total Cost Per Serving (O+P)/J]]*Table143[[#This Row],[Estimated Servings Annual]]</f>
        <v>#DIV/0!</v>
      </c>
      <c r="V84" s="81">
        <f>(Table143[[#This Row],[Commercial Bid Price per case for NOI ($)]]-Table143[[#This Row],[Pass-Thru Value per case ($)]])+Table143[[#This Row],[Region 2: Fixed Fee Per Case ($)]]</f>
        <v>0</v>
      </c>
      <c r="W84" s="77" t="e">
        <f>(Table143[[#This Row],[Commercial Bid Price per case for NOI ($)]]+Table143[[#This Row],[Region 2: Fixed Fee Per Case ($)]])/Table143[[#This Row],['# of CN Servings per case]]</f>
        <v>#DIV/0!</v>
      </c>
      <c r="X84" s="77" t="e">
        <f>Table143[[#This Row],[Total Cost Per Serving (O+Q)/J]]*Table143[[#This Row],[Estimated Servings Annual]]</f>
        <v>#DIV/0!</v>
      </c>
    </row>
    <row r="85" spans="1:24" x14ac:dyDescent="0.35">
      <c r="A85" s="30" t="s">
        <v>30</v>
      </c>
      <c r="B85" s="28" t="s">
        <v>100</v>
      </c>
      <c r="C85" s="7" t="s">
        <v>50</v>
      </c>
      <c r="D85" s="7"/>
      <c r="E85" s="7"/>
      <c r="F85" s="7"/>
      <c r="G85" s="7"/>
      <c r="H85" s="7"/>
      <c r="I85" s="7"/>
      <c r="J85" s="7"/>
      <c r="K85" s="51">
        <v>800000</v>
      </c>
      <c r="L85" s="7"/>
      <c r="M85" s="7"/>
      <c r="N85" s="7"/>
      <c r="O85" s="7"/>
      <c r="P85" s="7"/>
      <c r="Q85" s="7"/>
      <c r="R85" s="7"/>
      <c r="S85" s="81">
        <f>(Table143[[#This Row],[Commercial Bid Price per case for NOI ($)]]-Table143[[#This Row],[Pass-Thru Value per case ($)]])+Table143[[#This Row],[Region 1: Fixed Fee Per Case ($)]]</f>
        <v>0</v>
      </c>
      <c r="T85" s="77" t="e">
        <f>(Table143[[#This Row],[Commercial Bid Price per case for NOI ($)]]+Table143[[#This Row],[Region 1: Fixed Fee Per Case ($)]])/Table143[[#This Row],['# of CN Servings per case]]</f>
        <v>#DIV/0!</v>
      </c>
      <c r="U85" s="77" t="e">
        <f>Table143[[#This Row],[Total Cost Per Serving (O+P)/J]]*Table143[[#This Row],[Estimated Servings Annual]]</f>
        <v>#DIV/0!</v>
      </c>
      <c r="V85" s="81">
        <f>(Table143[[#This Row],[Commercial Bid Price per case for NOI ($)]]-Table143[[#This Row],[Pass-Thru Value per case ($)]])+Table143[[#This Row],[Region 2: Fixed Fee Per Case ($)]]</f>
        <v>0</v>
      </c>
      <c r="W85" s="77" t="e">
        <f>(Table143[[#This Row],[Commercial Bid Price per case for NOI ($)]]+Table143[[#This Row],[Region 2: Fixed Fee Per Case ($)]])/Table143[[#This Row],['# of CN Servings per case]]</f>
        <v>#DIV/0!</v>
      </c>
      <c r="X85" s="77" t="e">
        <f>Table143[[#This Row],[Total Cost Per Serving (O+Q)/J]]*Table143[[#This Row],[Estimated Servings Annual]]</f>
        <v>#DIV/0!</v>
      </c>
    </row>
    <row r="86" spans="1:24" x14ac:dyDescent="0.35">
      <c r="A86" s="30" t="s">
        <v>30</v>
      </c>
      <c r="B86" s="28" t="s">
        <v>100</v>
      </c>
      <c r="C86" s="7" t="s">
        <v>50</v>
      </c>
      <c r="D86" s="7"/>
      <c r="E86" s="7"/>
      <c r="F86" s="7"/>
      <c r="G86" s="7"/>
      <c r="H86" s="7"/>
      <c r="I86" s="7"/>
      <c r="J86" s="7"/>
      <c r="K86" s="51">
        <v>800000</v>
      </c>
      <c r="L86" s="7"/>
      <c r="M86" s="7"/>
      <c r="N86" s="7"/>
      <c r="O86" s="7"/>
      <c r="P86" s="7"/>
      <c r="Q86" s="7"/>
      <c r="R86" s="7"/>
      <c r="S86" s="81">
        <f>(Table143[[#This Row],[Commercial Bid Price per case for NOI ($)]]-Table143[[#This Row],[Pass-Thru Value per case ($)]])+Table143[[#This Row],[Region 1: Fixed Fee Per Case ($)]]</f>
        <v>0</v>
      </c>
      <c r="T86" s="77" t="e">
        <f>(Table143[[#This Row],[Commercial Bid Price per case for NOI ($)]]+Table143[[#This Row],[Region 1: Fixed Fee Per Case ($)]])/Table143[[#This Row],['# of CN Servings per case]]</f>
        <v>#DIV/0!</v>
      </c>
      <c r="U86" s="77" t="e">
        <f>Table143[[#This Row],[Total Cost Per Serving (O+P)/J]]*Table143[[#This Row],[Estimated Servings Annual]]</f>
        <v>#DIV/0!</v>
      </c>
      <c r="V86" s="81">
        <f>(Table143[[#This Row],[Commercial Bid Price per case for NOI ($)]]-Table143[[#This Row],[Pass-Thru Value per case ($)]])+Table143[[#This Row],[Region 2: Fixed Fee Per Case ($)]]</f>
        <v>0</v>
      </c>
      <c r="W86" s="77" t="e">
        <f>(Table143[[#This Row],[Commercial Bid Price per case for NOI ($)]]+Table143[[#This Row],[Region 2: Fixed Fee Per Case ($)]])/Table143[[#This Row],['# of CN Servings per case]]</f>
        <v>#DIV/0!</v>
      </c>
      <c r="X86" s="77" t="e">
        <f>Table143[[#This Row],[Total Cost Per Serving (O+Q)/J]]*Table143[[#This Row],[Estimated Servings Annual]]</f>
        <v>#DIV/0!</v>
      </c>
    </row>
    <row r="87" spans="1:24" x14ac:dyDescent="0.35">
      <c r="A87" s="30" t="s">
        <v>30</v>
      </c>
      <c r="B87" s="28" t="s">
        <v>100</v>
      </c>
      <c r="C87" s="7" t="s">
        <v>13</v>
      </c>
      <c r="D87" s="7"/>
      <c r="E87" s="7"/>
      <c r="F87" s="7"/>
      <c r="G87" s="7"/>
      <c r="H87" s="7"/>
      <c r="I87" s="7"/>
      <c r="J87" s="7"/>
      <c r="K87" s="51">
        <v>800000</v>
      </c>
      <c r="L87" s="7"/>
      <c r="M87" s="7"/>
      <c r="N87" s="7"/>
      <c r="O87" s="7"/>
      <c r="P87" s="7"/>
      <c r="Q87" s="7"/>
      <c r="R87" s="7"/>
      <c r="S87" s="81">
        <f>(Table143[[#This Row],[Commercial Bid Price per case for NOI ($)]]-Table143[[#This Row],[Pass-Thru Value per case ($)]])+Table143[[#This Row],[Region 1: Fixed Fee Per Case ($)]]</f>
        <v>0</v>
      </c>
      <c r="T87" s="77" t="e">
        <f>(Table143[[#This Row],[Commercial Bid Price per case for NOI ($)]]+Table143[[#This Row],[Region 1: Fixed Fee Per Case ($)]])/Table143[[#This Row],['# of CN Servings per case]]</f>
        <v>#DIV/0!</v>
      </c>
      <c r="U87" s="77" t="e">
        <f>Table143[[#This Row],[Total Cost Per Serving (O+P)/J]]*Table143[[#This Row],[Estimated Servings Annual]]</f>
        <v>#DIV/0!</v>
      </c>
      <c r="V87" s="81">
        <f>(Table143[[#This Row],[Commercial Bid Price per case for NOI ($)]]-Table143[[#This Row],[Pass-Thru Value per case ($)]])+Table143[[#This Row],[Region 2: Fixed Fee Per Case ($)]]</f>
        <v>0</v>
      </c>
      <c r="W87" s="77" t="e">
        <f>(Table143[[#This Row],[Commercial Bid Price per case for NOI ($)]]+Table143[[#This Row],[Region 2: Fixed Fee Per Case ($)]])/Table143[[#This Row],['# of CN Servings per case]]</f>
        <v>#DIV/0!</v>
      </c>
      <c r="X87" s="77" t="e">
        <f>Table143[[#This Row],[Total Cost Per Serving (O+Q)/J]]*Table143[[#This Row],[Estimated Servings Annual]]</f>
        <v>#DIV/0!</v>
      </c>
    </row>
    <row r="88" spans="1:24" x14ac:dyDescent="0.35">
      <c r="A88" s="30" t="s">
        <v>30</v>
      </c>
      <c r="B88" s="28" t="s">
        <v>100</v>
      </c>
      <c r="C88" s="7" t="s">
        <v>13</v>
      </c>
      <c r="D88" s="7"/>
      <c r="E88" s="7"/>
      <c r="F88" s="7"/>
      <c r="G88" s="7"/>
      <c r="H88" s="7"/>
      <c r="I88" s="7"/>
      <c r="J88" s="7"/>
      <c r="K88" s="51">
        <v>800000</v>
      </c>
      <c r="L88" s="7"/>
      <c r="M88" s="7"/>
      <c r="N88" s="7"/>
      <c r="O88" s="7"/>
      <c r="P88" s="7"/>
      <c r="Q88" s="7"/>
      <c r="R88" s="7"/>
      <c r="S88" s="81">
        <f>(Table143[[#This Row],[Commercial Bid Price per case for NOI ($)]]-Table143[[#This Row],[Pass-Thru Value per case ($)]])+Table143[[#This Row],[Region 1: Fixed Fee Per Case ($)]]</f>
        <v>0</v>
      </c>
      <c r="T88" s="77" t="e">
        <f>(Table143[[#This Row],[Commercial Bid Price per case for NOI ($)]]+Table143[[#This Row],[Region 1: Fixed Fee Per Case ($)]])/Table143[[#This Row],['# of CN Servings per case]]</f>
        <v>#DIV/0!</v>
      </c>
      <c r="U88" s="77" t="e">
        <f>Table143[[#This Row],[Total Cost Per Serving (O+P)/J]]*Table143[[#This Row],[Estimated Servings Annual]]</f>
        <v>#DIV/0!</v>
      </c>
      <c r="V88" s="81">
        <f>(Table143[[#This Row],[Commercial Bid Price per case for NOI ($)]]-Table143[[#This Row],[Pass-Thru Value per case ($)]])+Table143[[#This Row],[Region 2: Fixed Fee Per Case ($)]]</f>
        <v>0</v>
      </c>
      <c r="W88" s="77" t="e">
        <f>(Table143[[#This Row],[Commercial Bid Price per case for NOI ($)]]+Table143[[#This Row],[Region 2: Fixed Fee Per Case ($)]])/Table143[[#This Row],['# of CN Servings per case]]</f>
        <v>#DIV/0!</v>
      </c>
      <c r="X88" s="77" t="e">
        <f>Table143[[#This Row],[Total Cost Per Serving (O+Q)/J]]*Table143[[#This Row],[Estimated Servings Annual]]</f>
        <v>#DIV/0!</v>
      </c>
    </row>
    <row r="89" spans="1:24" x14ac:dyDescent="0.35">
      <c r="A89" s="30" t="s">
        <v>30</v>
      </c>
      <c r="B89" s="28" t="s">
        <v>100</v>
      </c>
      <c r="C89" s="7" t="s">
        <v>13</v>
      </c>
      <c r="D89" s="7"/>
      <c r="E89" s="7"/>
      <c r="F89" s="7"/>
      <c r="G89" s="7"/>
      <c r="H89" s="7"/>
      <c r="I89" s="7"/>
      <c r="J89" s="7"/>
      <c r="K89" s="51">
        <v>800000</v>
      </c>
      <c r="L89" s="7"/>
      <c r="M89" s="7"/>
      <c r="N89" s="7"/>
      <c r="O89" s="7"/>
      <c r="P89" s="7"/>
      <c r="Q89" s="7"/>
      <c r="R89" s="7"/>
      <c r="S89" s="81">
        <f>(Table143[[#This Row],[Commercial Bid Price per case for NOI ($)]]-Table143[[#This Row],[Pass-Thru Value per case ($)]])+Table143[[#This Row],[Region 1: Fixed Fee Per Case ($)]]</f>
        <v>0</v>
      </c>
      <c r="T89" s="77" t="e">
        <f>(Table143[[#This Row],[Commercial Bid Price per case for NOI ($)]]+Table143[[#This Row],[Region 1: Fixed Fee Per Case ($)]])/Table143[[#This Row],['# of CN Servings per case]]</f>
        <v>#DIV/0!</v>
      </c>
      <c r="U89" s="77" t="e">
        <f>Table143[[#This Row],[Total Cost Per Serving (O+P)/J]]*Table143[[#This Row],[Estimated Servings Annual]]</f>
        <v>#DIV/0!</v>
      </c>
      <c r="V89" s="81">
        <f>(Table143[[#This Row],[Commercial Bid Price per case for NOI ($)]]-Table143[[#This Row],[Pass-Thru Value per case ($)]])+Table143[[#This Row],[Region 2: Fixed Fee Per Case ($)]]</f>
        <v>0</v>
      </c>
      <c r="W89" s="77" t="e">
        <f>(Table143[[#This Row],[Commercial Bid Price per case for NOI ($)]]+Table143[[#This Row],[Region 2: Fixed Fee Per Case ($)]])/Table143[[#This Row],['# of CN Servings per case]]</f>
        <v>#DIV/0!</v>
      </c>
      <c r="X89" s="77" t="e">
        <f>Table143[[#This Row],[Total Cost Per Serving (O+Q)/J]]*Table143[[#This Row],[Estimated Servings Annual]]</f>
        <v>#DIV/0!</v>
      </c>
    </row>
    <row r="90" spans="1:24" ht="15" thickBot="1" x14ac:dyDescent="0.4">
      <c r="A90" s="31" t="s">
        <v>30</v>
      </c>
      <c r="B90" s="28" t="s">
        <v>100</v>
      </c>
      <c r="C90" s="27" t="s">
        <v>13</v>
      </c>
      <c r="D90" s="27"/>
      <c r="E90" s="27"/>
      <c r="F90" s="27"/>
      <c r="G90" s="27"/>
      <c r="H90" s="27"/>
      <c r="I90" s="27"/>
      <c r="J90" s="27"/>
      <c r="K90" s="51">
        <v>800000</v>
      </c>
      <c r="L90" s="27"/>
      <c r="M90" s="27"/>
      <c r="N90" s="27"/>
      <c r="O90" s="27"/>
      <c r="P90" s="27"/>
      <c r="Q90" s="27"/>
      <c r="R90" s="27"/>
      <c r="S90" s="90">
        <f>(Table143[[#This Row],[Commercial Bid Price per case for NOI ($)]]-Table143[[#This Row],[Pass-Thru Value per case ($)]])+Table143[[#This Row],[Region 1: Fixed Fee Per Case ($)]]</f>
        <v>0</v>
      </c>
      <c r="T90" s="91" t="e">
        <f>(Table143[[#This Row],[Commercial Bid Price per case for NOI ($)]]+Table143[[#This Row],[Region 1: Fixed Fee Per Case ($)]])/Table143[[#This Row],['# of CN Servings per case]]</f>
        <v>#DIV/0!</v>
      </c>
      <c r="U90" s="91" t="e">
        <f>Table143[[#This Row],[Total Cost Per Serving (O+P)/J]]*Table143[[#This Row],[Estimated Servings Annual]]</f>
        <v>#DIV/0!</v>
      </c>
      <c r="V90" s="90">
        <f>(Table143[[#This Row],[Commercial Bid Price per case for NOI ($)]]-Table143[[#This Row],[Pass-Thru Value per case ($)]])+Table143[[#This Row],[Region 2: Fixed Fee Per Case ($)]]</f>
        <v>0</v>
      </c>
      <c r="W90" s="91" t="e">
        <f>(Table143[[#This Row],[Commercial Bid Price per case for NOI ($)]]+Table143[[#This Row],[Region 2: Fixed Fee Per Case ($)]])/Table143[[#This Row],['# of CN Servings per case]]</f>
        <v>#DIV/0!</v>
      </c>
      <c r="X90" s="91" t="e">
        <f>Table143[[#This Row],[Total Cost Per Serving (O+Q)/J]]*Table143[[#This Row],[Estimated Servings Annual]]</f>
        <v>#DIV/0!</v>
      </c>
    </row>
  </sheetData>
  <sheetProtection algorithmName="SHA-512" hashValue="8lsd/WMjGmWWrKqHpVPtGzbe+sq9VI32+STo4/i3lmTAz7tvR8H0Lbm0HWyJ8roCWMCOQ17WN5ysmwMnaYX+gg==" saltValue="vf7fqNY/QWUPv2GpNhn42Q==" spinCount="100000" sheet="1" objects="1" scenarios="1" formatCells="0" formatColumns="0"/>
  <mergeCells count="3">
    <mergeCell ref="E1:G1"/>
    <mergeCell ref="S1:U1"/>
    <mergeCell ref="V1:X1"/>
  </mergeCell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ED39B-1BDA-4756-BE59-2B732FC50D6D}">
  <sheetPr codeName="Sheet5"/>
  <dimension ref="A1:X82"/>
  <sheetViews>
    <sheetView workbookViewId="0">
      <pane xSplit="3" ySplit="2" topLeftCell="D3" activePane="bottomRight" state="frozen"/>
      <selection activeCell="A24" sqref="A24"/>
      <selection pane="topRight" activeCell="A24" sqref="A24"/>
      <selection pane="bottomLeft" activeCell="A24" sqref="A24"/>
      <selection pane="bottomRight" activeCell="A24" sqref="A24"/>
    </sheetView>
  </sheetViews>
  <sheetFormatPr defaultColWidth="11" defaultRowHeight="14.5" x14ac:dyDescent="0.35"/>
  <cols>
    <col min="1" max="1" width="12.54296875" style="9" bestFit="1" customWidth="1"/>
    <col min="2" max="2" width="23.81640625" style="9" bestFit="1" customWidth="1"/>
    <col min="3" max="3" width="25.453125" style="9" bestFit="1" customWidth="1"/>
    <col min="4" max="4" width="20.81640625" style="9" bestFit="1" customWidth="1"/>
    <col min="5" max="5" width="26.26953125" style="9" bestFit="1" customWidth="1"/>
    <col min="6" max="6" width="12.90625" style="9" bestFit="1" customWidth="1"/>
    <col min="7" max="7" width="15" style="9" bestFit="1" customWidth="1"/>
    <col min="8" max="8" width="14.54296875" style="9" bestFit="1" customWidth="1"/>
    <col min="9" max="9" width="9.54296875" style="9" bestFit="1" customWidth="1"/>
    <col min="10" max="10" width="13.6328125" style="63" bestFit="1" customWidth="1"/>
    <col min="11" max="11" width="12.6328125" style="9" bestFit="1" customWidth="1"/>
    <col min="12" max="12" width="10.453125" style="9" bestFit="1" customWidth="1"/>
    <col min="13" max="13" width="14.26953125" style="9" bestFit="1" customWidth="1"/>
    <col min="14" max="14" width="11.453125" style="9" bestFit="1" customWidth="1"/>
    <col min="15" max="15" width="17.81640625" style="9" bestFit="1" customWidth="1"/>
    <col min="16" max="17" width="14.81640625" style="9" bestFit="1" customWidth="1"/>
    <col min="18" max="18" width="14.54296875" style="9" bestFit="1" customWidth="1"/>
    <col min="19" max="19" width="14.1796875" style="9" bestFit="1" customWidth="1"/>
    <col min="20" max="20" width="15" style="9" bestFit="1" customWidth="1"/>
    <col min="21" max="21" width="11.54296875" style="9" bestFit="1" customWidth="1"/>
    <col min="22" max="22" width="14.1796875" style="9" bestFit="1" customWidth="1"/>
    <col min="23" max="23" width="15" style="9" bestFit="1" customWidth="1"/>
    <col min="24" max="24" width="11.54296875" style="9" bestFit="1" customWidth="1"/>
    <col min="25" max="16384" width="11" style="9"/>
  </cols>
  <sheetData>
    <row r="1" spans="1:24" x14ac:dyDescent="0.35">
      <c r="D1" s="10" t="s">
        <v>63</v>
      </c>
      <c r="E1" s="97">
        <f>Instructions!A2</f>
        <v>0</v>
      </c>
      <c r="F1" s="97"/>
      <c r="G1" s="97"/>
      <c r="S1" s="98" t="s">
        <v>72</v>
      </c>
      <c r="T1" s="99"/>
      <c r="U1" s="100"/>
      <c r="V1" s="101" t="s">
        <v>73</v>
      </c>
      <c r="W1" s="102"/>
      <c r="X1" s="102"/>
    </row>
    <row r="2" spans="1:24" s="10" customFormat="1" ht="58.5" thickBot="1" x14ac:dyDescent="0.4">
      <c r="A2" s="10" t="s">
        <v>14</v>
      </c>
      <c r="B2" s="10" t="s">
        <v>3</v>
      </c>
      <c r="C2" s="10" t="s">
        <v>23</v>
      </c>
      <c r="D2" s="10" t="s">
        <v>66</v>
      </c>
      <c r="E2" s="10" t="s">
        <v>182</v>
      </c>
      <c r="F2" s="10" t="s">
        <v>0</v>
      </c>
      <c r="G2" s="10" t="s">
        <v>4</v>
      </c>
      <c r="H2" s="10" t="s">
        <v>20</v>
      </c>
      <c r="I2" s="10" t="s">
        <v>1</v>
      </c>
      <c r="J2" s="10" t="s">
        <v>5</v>
      </c>
      <c r="K2" s="18" t="s">
        <v>6</v>
      </c>
      <c r="L2" s="10" t="s">
        <v>2</v>
      </c>
      <c r="M2" s="10" t="s">
        <v>21</v>
      </c>
      <c r="N2" s="10" t="s">
        <v>65</v>
      </c>
      <c r="O2" s="10" t="s">
        <v>22</v>
      </c>
      <c r="P2" s="10" t="s">
        <v>70</v>
      </c>
      <c r="Q2" s="10" t="s">
        <v>71</v>
      </c>
      <c r="R2" s="10" t="s">
        <v>19</v>
      </c>
      <c r="S2" s="64" t="s">
        <v>77</v>
      </c>
      <c r="T2" s="65" t="s">
        <v>79</v>
      </c>
      <c r="U2" s="66" t="s">
        <v>80</v>
      </c>
      <c r="V2" s="64" t="s">
        <v>78</v>
      </c>
      <c r="W2" s="65" t="s">
        <v>81</v>
      </c>
      <c r="X2" s="66" t="s">
        <v>82</v>
      </c>
    </row>
    <row r="3" spans="1:24" x14ac:dyDescent="0.35">
      <c r="A3" s="29" t="s">
        <v>49</v>
      </c>
      <c r="B3" s="42" t="s">
        <v>102</v>
      </c>
      <c r="C3" s="6" t="s">
        <v>103</v>
      </c>
      <c r="D3" s="6"/>
      <c r="E3" s="6"/>
      <c r="F3" s="6"/>
      <c r="G3" s="6"/>
      <c r="H3" s="6"/>
      <c r="I3" s="6"/>
      <c r="J3" s="6"/>
      <c r="K3" s="48">
        <v>700000</v>
      </c>
      <c r="L3" s="6"/>
      <c r="M3" s="6"/>
      <c r="N3" s="6"/>
      <c r="O3" s="6"/>
      <c r="P3" s="6"/>
      <c r="Q3" s="6"/>
      <c r="R3" s="6"/>
      <c r="S3" s="67">
        <f>(Table1435[[#This Row],[Commercial Bid Price per case for NOI ($)]]-Table1435[[#This Row],[Pass-Thru Value per case ($)]])+Table1435[[#This Row],[Region 1: Fixed Fee Per Case ($)]]</f>
        <v>0</v>
      </c>
      <c r="T3" s="68" t="e">
        <f>(Table1435[[#This Row],[Commercial Bid Price per case for NOI ($)]]+Table1435[[#This Row],[Region 1: Fixed Fee Per Case ($)]])/Table1435[[#This Row],['# of CN Servings per case]]</f>
        <v>#DIV/0!</v>
      </c>
      <c r="U3" s="68" t="e">
        <f>Table1435[[#This Row],[Total Cost Per Serving (O+P)/J]]*Table1435[[#This Row],[Estimated Servings Annual]]</f>
        <v>#DIV/0!</v>
      </c>
      <c r="V3" s="67">
        <f>(Table1435[[#This Row],[Commercial Bid Price per case for NOI ($)]]-Table1435[[#This Row],[Pass-Thru Value per case ($)]])+Table1435[[#This Row],[Region 2: Fixed Fee Per Case ($)]]</f>
        <v>0</v>
      </c>
      <c r="W3" s="68" t="e">
        <f>(Table1435[[#This Row],[Commercial Bid Price per case for NOI ($)]]+Table1435[[#This Row],[Region 2: Fixed Fee Per Case ($)]])/Table1435[[#This Row],['# of CN Servings per case]]</f>
        <v>#DIV/0!</v>
      </c>
      <c r="X3" s="69" t="e">
        <f>Table1435[[#This Row],[Total Cost Per Serving (O+Q)/J]]*Table1435[[#This Row],[Estimated Servings Annual]]</f>
        <v>#DIV/0!</v>
      </c>
    </row>
    <row r="4" spans="1:24" x14ac:dyDescent="0.35">
      <c r="A4" s="30" t="s">
        <v>49</v>
      </c>
      <c r="B4" s="28" t="s">
        <v>102</v>
      </c>
      <c r="C4" s="7" t="s">
        <v>103</v>
      </c>
      <c r="D4" s="7"/>
      <c r="E4" s="7"/>
      <c r="F4" s="7"/>
      <c r="G4" s="7"/>
      <c r="H4" s="7"/>
      <c r="I4" s="7"/>
      <c r="J4" s="7"/>
      <c r="K4" s="49">
        <v>700000</v>
      </c>
      <c r="L4" s="7"/>
      <c r="M4" s="7"/>
      <c r="N4" s="7"/>
      <c r="O4" s="7"/>
      <c r="P4" s="7"/>
      <c r="Q4" s="7"/>
      <c r="R4" s="7"/>
      <c r="S4" s="70">
        <f>(Table1435[[#This Row],[Commercial Bid Price per case for NOI ($)]]-Table1435[[#This Row],[Pass-Thru Value per case ($)]])+Table1435[[#This Row],[Region 1: Fixed Fee Per Case ($)]]</f>
        <v>0</v>
      </c>
      <c r="T4" s="71" t="e">
        <f>(Table1435[[#This Row],[Commercial Bid Price per case for NOI ($)]]+Table1435[[#This Row],[Region 1: Fixed Fee Per Case ($)]])/Table1435[[#This Row],['# of CN Servings per case]]</f>
        <v>#DIV/0!</v>
      </c>
      <c r="U4" s="71" t="e">
        <f>Table1435[[#This Row],[Total Cost Per Serving (O+P)/J]]*Table1435[[#This Row],[Estimated Servings Annual]]</f>
        <v>#DIV/0!</v>
      </c>
      <c r="V4" s="70">
        <f>(Table1435[[#This Row],[Commercial Bid Price per case for NOI ($)]]-Table1435[[#This Row],[Pass-Thru Value per case ($)]])+Table1435[[#This Row],[Region 2: Fixed Fee Per Case ($)]]</f>
        <v>0</v>
      </c>
      <c r="W4" s="71" t="e">
        <f>(Table1435[[#This Row],[Commercial Bid Price per case for NOI ($)]]+Table1435[[#This Row],[Region 2: Fixed Fee Per Case ($)]])/Table1435[[#This Row],['# of CN Servings per case]]</f>
        <v>#DIV/0!</v>
      </c>
      <c r="X4" s="72" t="e">
        <f>Table1435[[#This Row],[Total Cost Per Serving (O+Q)/J]]*Table1435[[#This Row],[Estimated Servings Annual]]</f>
        <v>#DIV/0!</v>
      </c>
    </row>
    <row r="5" spans="1:24" x14ac:dyDescent="0.35">
      <c r="A5" s="30" t="s">
        <v>49</v>
      </c>
      <c r="B5" s="28" t="s">
        <v>102</v>
      </c>
      <c r="C5" s="7" t="s">
        <v>83</v>
      </c>
      <c r="D5" s="7"/>
      <c r="E5" s="7"/>
      <c r="F5" s="7"/>
      <c r="G5" s="7"/>
      <c r="H5" s="7"/>
      <c r="I5" s="7"/>
      <c r="J5" s="7"/>
      <c r="K5" s="49">
        <v>700000</v>
      </c>
      <c r="L5" s="7"/>
      <c r="M5" s="7"/>
      <c r="N5" s="7"/>
      <c r="O5" s="7"/>
      <c r="P5" s="7"/>
      <c r="Q5" s="7"/>
      <c r="R5" s="7"/>
      <c r="S5" s="70">
        <f>(Table1435[[#This Row],[Commercial Bid Price per case for NOI ($)]]-Table1435[[#This Row],[Pass-Thru Value per case ($)]])+Table1435[[#This Row],[Region 1: Fixed Fee Per Case ($)]]</f>
        <v>0</v>
      </c>
      <c r="T5" s="71" t="e">
        <f>(Table1435[[#This Row],[Commercial Bid Price per case for NOI ($)]]+Table1435[[#This Row],[Region 1: Fixed Fee Per Case ($)]])/Table1435[[#This Row],['# of CN Servings per case]]</f>
        <v>#DIV/0!</v>
      </c>
      <c r="U5" s="71" t="e">
        <f>Table1435[[#This Row],[Total Cost Per Serving (O+P)/J]]*Table1435[[#This Row],[Estimated Servings Annual]]</f>
        <v>#DIV/0!</v>
      </c>
      <c r="V5" s="70">
        <f>(Table1435[[#This Row],[Commercial Bid Price per case for NOI ($)]]-Table1435[[#This Row],[Pass-Thru Value per case ($)]])+Table1435[[#This Row],[Region 2: Fixed Fee Per Case ($)]]</f>
        <v>0</v>
      </c>
      <c r="W5" s="71" t="e">
        <f>(Table1435[[#This Row],[Commercial Bid Price per case for NOI ($)]]+Table1435[[#This Row],[Region 2: Fixed Fee Per Case ($)]])/Table1435[[#This Row],['# of CN Servings per case]]</f>
        <v>#DIV/0!</v>
      </c>
      <c r="X5" s="72" t="e">
        <f>Table1435[[#This Row],[Total Cost Per Serving (O+Q)/J]]*Table1435[[#This Row],[Estimated Servings Annual]]</f>
        <v>#DIV/0!</v>
      </c>
    </row>
    <row r="6" spans="1:24" x14ac:dyDescent="0.35">
      <c r="A6" s="30" t="s">
        <v>49</v>
      </c>
      <c r="B6" s="28" t="s">
        <v>102</v>
      </c>
      <c r="C6" s="7" t="s">
        <v>83</v>
      </c>
      <c r="D6" s="7"/>
      <c r="E6" s="7"/>
      <c r="F6" s="7"/>
      <c r="G6" s="7"/>
      <c r="H6" s="7"/>
      <c r="I6" s="7"/>
      <c r="J6" s="7"/>
      <c r="K6" s="49">
        <v>700000</v>
      </c>
      <c r="L6" s="7"/>
      <c r="M6" s="7"/>
      <c r="N6" s="7"/>
      <c r="O6" s="7"/>
      <c r="P6" s="7"/>
      <c r="Q6" s="7"/>
      <c r="R6" s="7"/>
      <c r="S6" s="70">
        <f>(Table1435[[#This Row],[Commercial Bid Price per case for NOI ($)]]-Table1435[[#This Row],[Pass-Thru Value per case ($)]])+Table1435[[#This Row],[Region 1: Fixed Fee Per Case ($)]]</f>
        <v>0</v>
      </c>
      <c r="T6" s="71" t="e">
        <f>(Table1435[[#This Row],[Commercial Bid Price per case for NOI ($)]]+Table1435[[#This Row],[Region 1: Fixed Fee Per Case ($)]])/Table1435[[#This Row],['# of CN Servings per case]]</f>
        <v>#DIV/0!</v>
      </c>
      <c r="U6" s="71" t="e">
        <f>Table1435[[#This Row],[Total Cost Per Serving (O+P)/J]]*Table1435[[#This Row],[Estimated Servings Annual]]</f>
        <v>#DIV/0!</v>
      </c>
      <c r="V6" s="70">
        <f>(Table1435[[#This Row],[Commercial Bid Price per case for NOI ($)]]-Table1435[[#This Row],[Pass-Thru Value per case ($)]])+Table1435[[#This Row],[Region 2: Fixed Fee Per Case ($)]]</f>
        <v>0</v>
      </c>
      <c r="W6" s="71" t="e">
        <f>(Table1435[[#This Row],[Commercial Bid Price per case for NOI ($)]]+Table1435[[#This Row],[Region 2: Fixed Fee Per Case ($)]])/Table1435[[#This Row],['# of CN Servings per case]]</f>
        <v>#DIV/0!</v>
      </c>
      <c r="X6" s="72" t="e">
        <f>Table1435[[#This Row],[Total Cost Per Serving (O+Q)/J]]*Table1435[[#This Row],[Estimated Servings Annual]]</f>
        <v>#DIV/0!</v>
      </c>
    </row>
    <row r="7" spans="1:24" x14ac:dyDescent="0.35">
      <c r="A7" s="30" t="s">
        <v>49</v>
      </c>
      <c r="B7" s="28" t="s">
        <v>102</v>
      </c>
      <c r="C7" s="7" t="s">
        <v>31</v>
      </c>
      <c r="D7" s="7"/>
      <c r="E7" s="7"/>
      <c r="F7" s="7"/>
      <c r="G7" s="7"/>
      <c r="H7" s="7"/>
      <c r="I7" s="7"/>
      <c r="J7" s="7"/>
      <c r="K7" s="49">
        <v>700000</v>
      </c>
      <c r="L7" s="7"/>
      <c r="M7" s="7"/>
      <c r="N7" s="7"/>
      <c r="O7" s="7"/>
      <c r="P7" s="7"/>
      <c r="Q7" s="7"/>
      <c r="R7" s="7"/>
      <c r="S7" s="70">
        <f>(Table1435[[#This Row],[Commercial Bid Price per case for NOI ($)]]-Table1435[[#This Row],[Pass-Thru Value per case ($)]])+Table1435[[#This Row],[Region 1: Fixed Fee Per Case ($)]]</f>
        <v>0</v>
      </c>
      <c r="T7" s="71" t="e">
        <f>(Table1435[[#This Row],[Commercial Bid Price per case for NOI ($)]]+Table1435[[#This Row],[Region 1: Fixed Fee Per Case ($)]])/Table1435[[#This Row],['# of CN Servings per case]]</f>
        <v>#DIV/0!</v>
      </c>
      <c r="U7" s="71" t="e">
        <f>Table1435[[#This Row],[Total Cost Per Serving (O+P)/J]]*Table1435[[#This Row],[Estimated Servings Annual]]</f>
        <v>#DIV/0!</v>
      </c>
      <c r="V7" s="70">
        <f>(Table1435[[#This Row],[Commercial Bid Price per case for NOI ($)]]-Table1435[[#This Row],[Pass-Thru Value per case ($)]])+Table1435[[#This Row],[Region 2: Fixed Fee Per Case ($)]]</f>
        <v>0</v>
      </c>
      <c r="W7" s="71" t="e">
        <f>(Table1435[[#This Row],[Commercial Bid Price per case for NOI ($)]]+Table1435[[#This Row],[Region 2: Fixed Fee Per Case ($)]])/Table1435[[#This Row],['# of CN Servings per case]]</f>
        <v>#DIV/0!</v>
      </c>
      <c r="X7" s="72" t="e">
        <f>Table1435[[#This Row],[Total Cost Per Serving (O+Q)/J]]*Table1435[[#This Row],[Estimated Servings Annual]]</f>
        <v>#DIV/0!</v>
      </c>
    </row>
    <row r="8" spans="1:24" x14ac:dyDescent="0.35">
      <c r="A8" s="30" t="s">
        <v>49</v>
      </c>
      <c r="B8" s="28" t="s">
        <v>102</v>
      </c>
      <c r="C8" s="7" t="s">
        <v>31</v>
      </c>
      <c r="D8" s="7"/>
      <c r="E8" s="7"/>
      <c r="F8" s="7"/>
      <c r="G8" s="7"/>
      <c r="H8" s="7"/>
      <c r="I8" s="7"/>
      <c r="J8" s="7"/>
      <c r="K8" s="49">
        <v>700000</v>
      </c>
      <c r="L8" s="7"/>
      <c r="M8" s="7"/>
      <c r="N8" s="7"/>
      <c r="O8" s="7"/>
      <c r="P8" s="7"/>
      <c r="Q8" s="7"/>
      <c r="R8" s="7"/>
      <c r="S8" s="70">
        <f>(Table1435[[#This Row],[Commercial Bid Price per case for NOI ($)]]-Table1435[[#This Row],[Pass-Thru Value per case ($)]])+Table1435[[#This Row],[Region 1: Fixed Fee Per Case ($)]]</f>
        <v>0</v>
      </c>
      <c r="T8" s="71" t="e">
        <f>(Table1435[[#This Row],[Commercial Bid Price per case for NOI ($)]]+Table1435[[#This Row],[Region 1: Fixed Fee Per Case ($)]])/Table1435[[#This Row],['# of CN Servings per case]]</f>
        <v>#DIV/0!</v>
      </c>
      <c r="U8" s="71" t="e">
        <f>Table1435[[#This Row],[Total Cost Per Serving (O+P)/J]]*Table1435[[#This Row],[Estimated Servings Annual]]</f>
        <v>#DIV/0!</v>
      </c>
      <c r="V8" s="70">
        <f>(Table1435[[#This Row],[Commercial Bid Price per case for NOI ($)]]-Table1435[[#This Row],[Pass-Thru Value per case ($)]])+Table1435[[#This Row],[Region 2: Fixed Fee Per Case ($)]]</f>
        <v>0</v>
      </c>
      <c r="W8" s="71" t="e">
        <f>(Table1435[[#This Row],[Commercial Bid Price per case for NOI ($)]]+Table1435[[#This Row],[Region 2: Fixed Fee Per Case ($)]])/Table1435[[#This Row],['# of CN Servings per case]]</f>
        <v>#DIV/0!</v>
      </c>
      <c r="X8" s="72" t="e">
        <f>Table1435[[#This Row],[Total Cost Per Serving (O+Q)/J]]*Table1435[[#This Row],[Estimated Servings Annual]]</f>
        <v>#DIV/0!</v>
      </c>
    </row>
    <row r="9" spans="1:24" x14ac:dyDescent="0.35">
      <c r="A9" s="30" t="s">
        <v>49</v>
      </c>
      <c r="B9" s="28" t="s">
        <v>102</v>
      </c>
      <c r="C9" s="7" t="s">
        <v>13</v>
      </c>
      <c r="D9" s="7"/>
      <c r="E9" s="7"/>
      <c r="F9" s="7"/>
      <c r="G9" s="7"/>
      <c r="H9" s="7"/>
      <c r="I9" s="7"/>
      <c r="J9" s="7"/>
      <c r="K9" s="49">
        <v>700000</v>
      </c>
      <c r="L9" s="7"/>
      <c r="M9" s="7"/>
      <c r="N9" s="7"/>
      <c r="O9" s="7"/>
      <c r="P9" s="7"/>
      <c r="Q9" s="7"/>
      <c r="R9" s="7"/>
      <c r="S9" s="70">
        <f>(Table1435[[#This Row],[Commercial Bid Price per case for NOI ($)]]-Table1435[[#This Row],[Pass-Thru Value per case ($)]])+Table1435[[#This Row],[Region 1: Fixed Fee Per Case ($)]]</f>
        <v>0</v>
      </c>
      <c r="T9" s="71" t="e">
        <f>(Table1435[[#This Row],[Commercial Bid Price per case for NOI ($)]]+Table1435[[#This Row],[Region 1: Fixed Fee Per Case ($)]])/Table1435[[#This Row],['# of CN Servings per case]]</f>
        <v>#DIV/0!</v>
      </c>
      <c r="U9" s="71" t="e">
        <f>Table1435[[#This Row],[Total Cost Per Serving (O+P)/J]]*Table1435[[#This Row],[Estimated Servings Annual]]</f>
        <v>#DIV/0!</v>
      </c>
      <c r="V9" s="70">
        <f>(Table1435[[#This Row],[Commercial Bid Price per case for NOI ($)]]-Table1435[[#This Row],[Pass-Thru Value per case ($)]])+Table1435[[#This Row],[Region 2: Fixed Fee Per Case ($)]]</f>
        <v>0</v>
      </c>
      <c r="W9" s="71" t="e">
        <f>(Table1435[[#This Row],[Commercial Bid Price per case for NOI ($)]]+Table1435[[#This Row],[Region 2: Fixed Fee Per Case ($)]])/Table1435[[#This Row],['# of CN Servings per case]]</f>
        <v>#DIV/0!</v>
      </c>
      <c r="X9" s="72" t="e">
        <f>Table1435[[#This Row],[Total Cost Per Serving (O+Q)/J]]*Table1435[[#This Row],[Estimated Servings Annual]]</f>
        <v>#DIV/0!</v>
      </c>
    </row>
    <row r="10" spans="1:24" ht="15" thickBot="1" x14ac:dyDescent="0.4">
      <c r="A10" s="30" t="s">
        <v>49</v>
      </c>
      <c r="B10" s="41" t="s">
        <v>102</v>
      </c>
      <c r="C10" s="8" t="s">
        <v>13</v>
      </c>
      <c r="D10" s="8"/>
      <c r="E10" s="8"/>
      <c r="F10" s="8"/>
      <c r="G10" s="8"/>
      <c r="H10" s="8"/>
      <c r="I10" s="8"/>
      <c r="J10" s="8"/>
      <c r="K10" s="49">
        <v>700000</v>
      </c>
      <c r="L10" s="8"/>
      <c r="M10" s="8"/>
      <c r="N10" s="8"/>
      <c r="O10" s="8"/>
      <c r="P10" s="8"/>
      <c r="Q10" s="8"/>
      <c r="R10" s="8"/>
      <c r="S10" s="73">
        <f>(Table1435[[#This Row],[Commercial Bid Price per case for NOI ($)]]-Table1435[[#This Row],[Pass-Thru Value per case ($)]])+Table1435[[#This Row],[Region 1: Fixed Fee Per Case ($)]]</f>
        <v>0</v>
      </c>
      <c r="T10" s="74" t="e">
        <f>(Table1435[[#This Row],[Commercial Bid Price per case for NOI ($)]]+Table1435[[#This Row],[Region 1: Fixed Fee Per Case ($)]])/Table1435[[#This Row],['# of CN Servings per case]]</f>
        <v>#DIV/0!</v>
      </c>
      <c r="U10" s="74" t="e">
        <f>Table1435[[#This Row],[Total Cost Per Serving (O+P)/J]]*Table1435[[#This Row],[Estimated Servings Annual]]</f>
        <v>#DIV/0!</v>
      </c>
      <c r="V10" s="73">
        <f>(Table1435[[#This Row],[Commercial Bid Price per case for NOI ($)]]-Table1435[[#This Row],[Pass-Thru Value per case ($)]])+Table1435[[#This Row],[Region 2: Fixed Fee Per Case ($)]]</f>
        <v>0</v>
      </c>
      <c r="W10" s="74" t="e">
        <f>(Table1435[[#This Row],[Commercial Bid Price per case for NOI ($)]]+Table1435[[#This Row],[Region 2: Fixed Fee Per Case ($)]])/Table1435[[#This Row],['# of CN Servings per case]]</f>
        <v>#DIV/0!</v>
      </c>
      <c r="X10" s="75" t="e">
        <f>Table1435[[#This Row],[Total Cost Per Serving (O+Q)/J]]*Table1435[[#This Row],[Estimated Servings Annual]]</f>
        <v>#DIV/0!</v>
      </c>
    </row>
    <row r="11" spans="1:24" x14ac:dyDescent="0.35">
      <c r="A11" s="30" t="s">
        <v>49</v>
      </c>
      <c r="B11" s="42" t="s">
        <v>104</v>
      </c>
      <c r="C11" s="6" t="s">
        <v>103</v>
      </c>
      <c r="D11" s="6"/>
      <c r="E11" s="6"/>
      <c r="F11" s="6"/>
      <c r="G11" s="6"/>
      <c r="H11" s="6"/>
      <c r="I11" s="6"/>
      <c r="J11" s="6"/>
      <c r="K11" s="48">
        <v>120000</v>
      </c>
      <c r="L11" s="6"/>
      <c r="M11" s="6"/>
      <c r="N11" s="6"/>
      <c r="O11" s="6"/>
      <c r="P11" s="6"/>
      <c r="Q11" s="6"/>
      <c r="R11" s="6"/>
      <c r="S11" s="67">
        <f>(Table1435[[#This Row],[Commercial Bid Price per case for NOI ($)]]-Table1435[[#This Row],[Pass-Thru Value per case ($)]])+Table1435[[#This Row],[Region 1: Fixed Fee Per Case ($)]]</f>
        <v>0</v>
      </c>
      <c r="T11" s="68" t="e">
        <f>(Table1435[[#This Row],[Commercial Bid Price per case for NOI ($)]]+Table1435[[#This Row],[Region 1: Fixed Fee Per Case ($)]])/Table1435[[#This Row],['# of CN Servings per case]]</f>
        <v>#DIV/0!</v>
      </c>
      <c r="U11" s="68" t="e">
        <f>Table1435[[#This Row],[Total Cost Per Serving (O+P)/J]]*Table1435[[#This Row],[Estimated Servings Annual]]</f>
        <v>#DIV/0!</v>
      </c>
      <c r="V11" s="67">
        <f>(Table1435[[#This Row],[Commercial Bid Price per case for NOI ($)]]-Table1435[[#This Row],[Pass-Thru Value per case ($)]])+Table1435[[#This Row],[Region 2: Fixed Fee Per Case ($)]]</f>
        <v>0</v>
      </c>
      <c r="W11" s="68" t="e">
        <f>(Table1435[[#This Row],[Commercial Bid Price per case for NOI ($)]]+Table1435[[#This Row],[Region 2: Fixed Fee Per Case ($)]])/Table1435[[#This Row],['# of CN Servings per case]]</f>
        <v>#DIV/0!</v>
      </c>
      <c r="X11" s="69" t="e">
        <f>Table1435[[#This Row],[Total Cost Per Serving (O+Q)/J]]*Table1435[[#This Row],[Estimated Servings Annual]]</f>
        <v>#DIV/0!</v>
      </c>
    </row>
    <row r="12" spans="1:24" x14ac:dyDescent="0.35">
      <c r="A12" s="30" t="s">
        <v>49</v>
      </c>
      <c r="B12" s="28" t="s">
        <v>104</v>
      </c>
      <c r="C12" s="7" t="s">
        <v>103</v>
      </c>
      <c r="D12" s="7"/>
      <c r="E12" s="7"/>
      <c r="F12" s="7"/>
      <c r="G12" s="7"/>
      <c r="H12" s="7"/>
      <c r="I12" s="7"/>
      <c r="J12" s="7"/>
      <c r="K12" s="49">
        <v>120000</v>
      </c>
      <c r="L12" s="7"/>
      <c r="M12" s="7"/>
      <c r="N12" s="7"/>
      <c r="O12" s="7"/>
      <c r="P12" s="7"/>
      <c r="Q12" s="7"/>
      <c r="R12" s="7"/>
      <c r="S12" s="70">
        <f>(Table1435[[#This Row],[Commercial Bid Price per case for NOI ($)]]-Table1435[[#This Row],[Pass-Thru Value per case ($)]])+Table1435[[#This Row],[Region 1: Fixed Fee Per Case ($)]]</f>
        <v>0</v>
      </c>
      <c r="T12" s="71" t="e">
        <f>(Table1435[[#This Row],[Commercial Bid Price per case for NOI ($)]]+Table1435[[#This Row],[Region 1: Fixed Fee Per Case ($)]])/Table1435[[#This Row],['# of CN Servings per case]]</f>
        <v>#DIV/0!</v>
      </c>
      <c r="U12" s="71" t="e">
        <f>Table1435[[#This Row],[Total Cost Per Serving (O+P)/J]]*Table1435[[#This Row],[Estimated Servings Annual]]</f>
        <v>#DIV/0!</v>
      </c>
      <c r="V12" s="70">
        <f>(Table1435[[#This Row],[Commercial Bid Price per case for NOI ($)]]-Table1435[[#This Row],[Pass-Thru Value per case ($)]])+Table1435[[#This Row],[Region 2: Fixed Fee Per Case ($)]]</f>
        <v>0</v>
      </c>
      <c r="W12" s="71" t="e">
        <f>(Table1435[[#This Row],[Commercial Bid Price per case for NOI ($)]]+Table1435[[#This Row],[Region 2: Fixed Fee Per Case ($)]])/Table1435[[#This Row],['# of CN Servings per case]]</f>
        <v>#DIV/0!</v>
      </c>
      <c r="X12" s="72" t="e">
        <f>Table1435[[#This Row],[Total Cost Per Serving (O+Q)/J]]*Table1435[[#This Row],[Estimated Servings Annual]]</f>
        <v>#DIV/0!</v>
      </c>
    </row>
    <row r="13" spans="1:24" x14ac:dyDescent="0.35">
      <c r="A13" s="30" t="s">
        <v>49</v>
      </c>
      <c r="B13" s="28" t="s">
        <v>104</v>
      </c>
      <c r="C13" s="7" t="s">
        <v>83</v>
      </c>
      <c r="D13" s="7"/>
      <c r="E13" s="7"/>
      <c r="F13" s="7"/>
      <c r="G13" s="7"/>
      <c r="H13" s="7"/>
      <c r="I13" s="7"/>
      <c r="J13" s="7"/>
      <c r="K13" s="49">
        <v>120000</v>
      </c>
      <c r="L13" s="7"/>
      <c r="M13" s="7"/>
      <c r="N13" s="7"/>
      <c r="O13" s="7"/>
      <c r="P13" s="7"/>
      <c r="Q13" s="7"/>
      <c r="R13" s="7"/>
      <c r="S13" s="70">
        <f>(Table1435[[#This Row],[Commercial Bid Price per case for NOI ($)]]-Table1435[[#This Row],[Pass-Thru Value per case ($)]])+Table1435[[#This Row],[Region 1: Fixed Fee Per Case ($)]]</f>
        <v>0</v>
      </c>
      <c r="T13" s="71" t="e">
        <f>(Table1435[[#This Row],[Commercial Bid Price per case for NOI ($)]]+Table1435[[#This Row],[Region 1: Fixed Fee Per Case ($)]])/Table1435[[#This Row],['# of CN Servings per case]]</f>
        <v>#DIV/0!</v>
      </c>
      <c r="U13" s="71" t="e">
        <f>Table1435[[#This Row],[Total Cost Per Serving (O+P)/J]]*Table1435[[#This Row],[Estimated Servings Annual]]</f>
        <v>#DIV/0!</v>
      </c>
      <c r="V13" s="70">
        <f>(Table1435[[#This Row],[Commercial Bid Price per case for NOI ($)]]-Table1435[[#This Row],[Pass-Thru Value per case ($)]])+Table1435[[#This Row],[Region 2: Fixed Fee Per Case ($)]]</f>
        <v>0</v>
      </c>
      <c r="W13" s="71" t="e">
        <f>(Table1435[[#This Row],[Commercial Bid Price per case for NOI ($)]]+Table1435[[#This Row],[Region 2: Fixed Fee Per Case ($)]])/Table1435[[#This Row],['# of CN Servings per case]]</f>
        <v>#DIV/0!</v>
      </c>
      <c r="X13" s="72" t="e">
        <f>Table1435[[#This Row],[Total Cost Per Serving (O+Q)/J]]*Table1435[[#This Row],[Estimated Servings Annual]]</f>
        <v>#DIV/0!</v>
      </c>
    </row>
    <row r="14" spans="1:24" x14ac:dyDescent="0.35">
      <c r="A14" s="30" t="s">
        <v>49</v>
      </c>
      <c r="B14" s="28" t="s">
        <v>104</v>
      </c>
      <c r="C14" s="7" t="s">
        <v>83</v>
      </c>
      <c r="D14" s="7"/>
      <c r="E14" s="7"/>
      <c r="F14" s="7"/>
      <c r="G14" s="7"/>
      <c r="H14" s="7"/>
      <c r="I14" s="7"/>
      <c r="J14" s="7"/>
      <c r="K14" s="49">
        <v>120000</v>
      </c>
      <c r="L14" s="7"/>
      <c r="M14" s="7"/>
      <c r="N14" s="7"/>
      <c r="O14" s="7"/>
      <c r="P14" s="7"/>
      <c r="Q14" s="7"/>
      <c r="R14" s="7"/>
      <c r="S14" s="70">
        <f>(Table1435[[#This Row],[Commercial Bid Price per case for NOI ($)]]-Table1435[[#This Row],[Pass-Thru Value per case ($)]])+Table1435[[#This Row],[Region 1: Fixed Fee Per Case ($)]]</f>
        <v>0</v>
      </c>
      <c r="T14" s="71" t="e">
        <f>(Table1435[[#This Row],[Commercial Bid Price per case for NOI ($)]]+Table1435[[#This Row],[Region 1: Fixed Fee Per Case ($)]])/Table1435[[#This Row],['# of CN Servings per case]]</f>
        <v>#DIV/0!</v>
      </c>
      <c r="U14" s="71" t="e">
        <f>Table1435[[#This Row],[Total Cost Per Serving (O+P)/J]]*Table1435[[#This Row],[Estimated Servings Annual]]</f>
        <v>#DIV/0!</v>
      </c>
      <c r="V14" s="70">
        <f>(Table1435[[#This Row],[Commercial Bid Price per case for NOI ($)]]-Table1435[[#This Row],[Pass-Thru Value per case ($)]])+Table1435[[#This Row],[Region 2: Fixed Fee Per Case ($)]]</f>
        <v>0</v>
      </c>
      <c r="W14" s="71" t="e">
        <f>(Table1435[[#This Row],[Commercial Bid Price per case for NOI ($)]]+Table1435[[#This Row],[Region 2: Fixed Fee Per Case ($)]])/Table1435[[#This Row],['# of CN Servings per case]]</f>
        <v>#DIV/0!</v>
      </c>
      <c r="X14" s="72" t="e">
        <f>Table1435[[#This Row],[Total Cost Per Serving (O+Q)/J]]*Table1435[[#This Row],[Estimated Servings Annual]]</f>
        <v>#DIV/0!</v>
      </c>
    </row>
    <row r="15" spans="1:24" x14ac:dyDescent="0.35">
      <c r="A15" s="30" t="s">
        <v>49</v>
      </c>
      <c r="B15" s="28" t="s">
        <v>104</v>
      </c>
      <c r="C15" s="7" t="s">
        <v>31</v>
      </c>
      <c r="D15" s="7"/>
      <c r="E15" s="7"/>
      <c r="F15" s="7"/>
      <c r="G15" s="7"/>
      <c r="H15" s="7"/>
      <c r="I15" s="7"/>
      <c r="J15" s="7"/>
      <c r="K15" s="49">
        <v>120000</v>
      </c>
      <c r="L15" s="7"/>
      <c r="M15" s="7"/>
      <c r="N15" s="7"/>
      <c r="O15" s="7"/>
      <c r="P15" s="7"/>
      <c r="Q15" s="7"/>
      <c r="R15" s="7"/>
      <c r="S15" s="70">
        <f>(Table1435[[#This Row],[Commercial Bid Price per case for NOI ($)]]-Table1435[[#This Row],[Pass-Thru Value per case ($)]])+Table1435[[#This Row],[Region 1: Fixed Fee Per Case ($)]]</f>
        <v>0</v>
      </c>
      <c r="T15" s="71" t="e">
        <f>(Table1435[[#This Row],[Commercial Bid Price per case for NOI ($)]]+Table1435[[#This Row],[Region 1: Fixed Fee Per Case ($)]])/Table1435[[#This Row],['# of CN Servings per case]]</f>
        <v>#DIV/0!</v>
      </c>
      <c r="U15" s="71" t="e">
        <f>Table1435[[#This Row],[Total Cost Per Serving (O+P)/J]]*Table1435[[#This Row],[Estimated Servings Annual]]</f>
        <v>#DIV/0!</v>
      </c>
      <c r="V15" s="70">
        <f>(Table1435[[#This Row],[Commercial Bid Price per case for NOI ($)]]-Table1435[[#This Row],[Pass-Thru Value per case ($)]])+Table1435[[#This Row],[Region 2: Fixed Fee Per Case ($)]]</f>
        <v>0</v>
      </c>
      <c r="W15" s="71" t="e">
        <f>(Table1435[[#This Row],[Commercial Bid Price per case for NOI ($)]]+Table1435[[#This Row],[Region 2: Fixed Fee Per Case ($)]])/Table1435[[#This Row],['# of CN Servings per case]]</f>
        <v>#DIV/0!</v>
      </c>
      <c r="X15" s="72" t="e">
        <f>Table1435[[#This Row],[Total Cost Per Serving (O+Q)/J]]*Table1435[[#This Row],[Estimated Servings Annual]]</f>
        <v>#DIV/0!</v>
      </c>
    </row>
    <row r="16" spans="1:24" x14ac:dyDescent="0.35">
      <c r="A16" s="30" t="s">
        <v>49</v>
      </c>
      <c r="B16" s="28" t="s">
        <v>104</v>
      </c>
      <c r="C16" s="7" t="s">
        <v>31</v>
      </c>
      <c r="D16" s="7"/>
      <c r="E16" s="7"/>
      <c r="F16" s="7"/>
      <c r="G16" s="7"/>
      <c r="H16" s="7"/>
      <c r="I16" s="7"/>
      <c r="J16" s="7"/>
      <c r="K16" s="49">
        <v>120000</v>
      </c>
      <c r="L16" s="7"/>
      <c r="M16" s="7"/>
      <c r="N16" s="7"/>
      <c r="O16" s="7"/>
      <c r="P16" s="7"/>
      <c r="Q16" s="7"/>
      <c r="R16" s="7"/>
      <c r="S16" s="70">
        <f>(Table1435[[#This Row],[Commercial Bid Price per case for NOI ($)]]-Table1435[[#This Row],[Pass-Thru Value per case ($)]])+Table1435[[#This Row],[Region 1: Fixed Fee Per Case ($)]]</f>
        <v>0</v>
      </c>
      <c r="T16" s="71" t="e">
        <f>(Table1435[[#This Row],[Commercial Bid Price per case for NOI ($)]]+Table1435[[#This Row],[Region 1: Fixed Fee Per Case ($)]])/Table1435[[#This Row],['# of CN Servings per case]]</f>
        <v>#DIV/0!</v>
      </c>
      <c r="U16" s="71" t="e">
        <f>Table1435[[#This Row],[Total Cost Per Serving (O+P)/J]]*Table1435[[#This Row],[Estimated Servings Annual]]</f>
        <v>#DIV/0!</v>
      </c>
      <c r="V16" s="70">
        <f>(Table1435[[#This Row],[Commercial Bid Price per case for NOI ($)]]-Table1435[[#This Row],[Pass-Thru Value per case ($)]])+Table1435[[#This Row],[Region 2: Fixed Fee Per Case ($)]]</f>
        <v>0</v>
      </c>
      <c r="W16" s="71" t="e">
        <f>(Table1435[[#This Row],[Commercial Bid Price per case for NOI ($)]]+Table1435[[#This Row],[Region 2: Fixed Fee Per Case ($)]])/Table1435[[#This Row],['# of CN Servings per case]]</f>
        <v>#DIV/0!</v>
      </c>
      <c r="X16" s="72" t="e">
        <f>Table1435[[#This Row],[Total Cost Per Serving (O+Q)/J]]*Table1435[[#This Row],[Estimated Servings Annual]]</f>
        <v>#DIV/0!</v>
      </c>
    </row>
    <row r="17" spans="1:24" x14ac:dyDescent="0.35">
      <c r="A17" s="30" t="s">
        <v>49</v>
      </c>
      <c r="B17" s="28" t="s">
        <v>104</v>
      </c>
      <c r="C17" s="7" t="s">
        <v>13</v>
      </c>
      <c r="D17" s="7"/>
      <c r="E17" s="7"/>
      <c r="F17" s="7"/>
      <c r="G17" s="7"/>
      <c r="H17" s="7"/>
      <c r="I17" s="7"/>
      <c r="J17" s="7"/>
      <c r="K17" s="49">
        <v>120000</v>
      </c>
      <c r="L17" s="7"/>
      <c r="M17" s="7"/>
      <c r="N17" s="7"/>
      <c r="O17" s="7"/>
      <c r="P17" s="7"/>
      <c r="Q17" s="7"/>
      <c r="R17" s="7"/>
      <c r="S17" s="70">
        <f>(Table1435[[#This Row],[Commercial Bid Price per case for NOI ($)]]-Table1435[[#This Row],[Pass-Thru Value per case ($)]])+Table1435[[#This Row],[Region 1: Fixed Fee Per Case ($)]]</f>
        <v>0</v>
      </c>
      <c r="T17" s="71" t="e">
        <f>(Table1435[[#This Row],[Commercial Bid Price per case for NOI ($)]]+Table1435[[#This Row],[Region 1: Fixed Fee Per Case ($)]])/Table1435[[#This Row],['# of CN Servings per case]]</f>
        <v>#DIV/0!</v>
      </c>
      <c r="U17" s="71" t="e">
        <f>Table1435[[#This Row],[Total Cost Per Serving (O+P)/J]]*Table1435[[#This Row],[Estimated Servings Annual]]</f>
        <v>#DIV/0!</v>
      </c>
      <c r="V17" s="70">
        <f>(Table1435[[#This Row],[Commercial Bid Price per case for NOI ($)]]-Table1435[[#This Row],[Pass-Thru Value per case ($)]])+Table1435[[#This Row],[Region 2: Fixed Fee Per Case ($)]]</f>
        <v>0</v>
      </c>
      <c r="W17" s="71" t="e">
        <f>(Table1435[[#This Row],[Commercial Bid Price per case for NOI ($)]]+Table1435[[#This Row],[Region 2: Fixed Fee Per Case ($)]])/Table1435[[#This Row],['# of CN Servings per case]]</f>
        <v>#DIV/0!</v>
      </c>
      <c r="X17" s="72" t="e">
        <f>Table1435[[#This Row],[Total Cost Per Serving (O+Q)/J]]*Table1435[[#This Row],[Estimated Servings Annual]]</f>
        <v>#DIV/0!</v>
      </c>
    </row>
    <row r="18" spans="1:24" ht="15" thickBot="1" x14ac:dyDescent="0.4">
      <c r="A18" s="30" t="s">
        <v>49</v>
      </c>
      <c r="B18" s="28" t="s">
        <v>104</v>
      </c>
      <c r="C18" s="8" t="s">
        <v>13</v>
      </c>
      <c r="D18" s="8"/>
      <c r="E18" s="8"/>
      <c r="F18" s="8"/>
      <c r="G18" s="8"/>
      <c r="H18" s="8"/>
      <c r="I18" s="8"/>
      <c r="J18" s="8"/>
      <c r="K18" s="50">
        <v>120000</v>
      </c>
      <c r="L18" s="8"/>
      <c r="M18" s="8"/>
      <c r="N18" s="8"/>
      <c r="O18" s="8"/>
      <c r="P18" s="8"/>
      <c r="Q18" s="8"/>
      <c r="R18" s="8"/>
      <c r="S18" s="73">
        <f>(Table1435[[#This Row],[Commercial Bid Price per case for NOI ($)]]-Table1435[[#This Row],[Pass-Thru Value per case ($)]])+Table1435[[#This Row],[Region 1: Fixed Fee Per Case ($)]]</f>
        <v>0</v>
      </c>
      <c r="T18" s="74" t="e">
        <f>(Table1435[[#This Row],[Commercial Bid Price per case for NOI ($)]]+Table1435[[#This Row],[Region 1: Fixed Fee Per Case ($)]])/Table1435[[#This Row],['# of CN Servings per case]]</f>
        <v>#DIV/0!</v>
      </c>
      <c r="U18" s="74" t="e">
        <f>Table1435[[#This Row],[Total Cost Per Serving (O+P)/J]]*Table1435[[#This Row],[Estimated Servings Annual]]</f>
        <v>#DIV/0!</v>
      </c>
      <c r="V18" s="73">
        <f>(Table1435[[#This Row],[Commercial Bid Price per case for NOI ($)]]-Table1435[[#This Row],[Pass-Thru Value per case ($)]])+Table1435[[#This Row],[Region 2: Fixed Fee Per Case ($)]]</f>
        <v>0</v>
      </c>
      <c r="W18" s="74" t="e">
        <f>(Table1435[[#This Row],[Commercial Bid Price per case for NOI ($)]]+Table1435[[#This Row],[Region 2: Fixed Fee Per Case ($)]])/Table1435[[#This Row],['# of CN Servings per case]]</f>
        <v>#DIV/0!</v>
      </c>
      <c r="X18" s="75" t="e">
        <f>Table1435[[#This Row],[Total Cost Per Serving (O+Q)/J]]*Table1435[[#This Row],[Estimated Servings Annual]]</f>
        <v>#DIV/0!</v>
      </c>
    </row>
    <row r="19" spans="1:24" x14ac:dyDescent="0.35">
      <c r="A19" s="30" t="s">
        <v>49</v>
      </c>
      <c r="B19" s="42" t="s">
        <v>105</v>
      </c>
      <c r="C19" s="6" t="s">
        <v>103</v>
      </c>
      <c r="D19" s="6"/>
      <c r="E19" s="6"/>
      <c r="F19" s="6"/>
      <c r="G19" s="6"/>
      <c r="H19" s="6"/>
      <c r="I19" s="6"/>
      <c r="J19" s="6"/>
      <c r="K19" s="48">
        <v>350000</v>
      </c>
      <c r="L19" s="6"/>
      <c r="M19" s="6"/>
      <c r="N19" s="6"/>
      <c r="O19" s="6"/>
      <c r="P19" s="6"/>
      <c r="Q19" s="6"/>
      <c r="R19" s="6"/>
      <c r="S19" s="67">
        <f>(Table1435[[#This Row],[Commercial Bid Price per case for NOI ($)]]-Table1435[[#This Row],[Pass-Thru Value per case ($)]])+Table1435[[#This Row],[Region 1: Fixed Fee Per Case ($)]]</f>
        <v>0</v>
      </c>
      <c r="T19" s="68" t="e">
        <f>(Table1435[[#This Row],[Commercial Bid Price per case for NOI ($)]]+Table1435[[#This Row],[Region 1: Fixed Fee Per Case ($)]])/Table1435[[#This Row],['# of CN Servings per case]]</f>
        <v>#DIV/0!</v>
      </c>
      <c r="U19" s="68" t="e">
        <f>Table1435[[#This Row],[Total Cost Per Serving (O+P)/J]]*Table1435[[#This Row],[Estimated Servings Annual]]</f>
        <v>#DIV/0!</v>
      </c>
      <c r="V19" s="67">
        <f>(Table1435[[#This Row],[Commercial Bid Price per case for NOI ($)]]-Table1435[[#This Row],[Pass-Thru Value per case ($)]])+Table1435[[#This Row],[Region 2: Fixed Fee Per Case ($)]]</f>
        <v>0</v>
      </c>
      <c r="W19" s="68" t="e">
        <f>(Table1435[[#This Row],[Commercial Bid Price per case for NOI ($)]]+Table1435[[#This Row],[Region 2: Fixed Fee Per Case ($)]])/Table1435[[#This Row],['# of CN Servings per case]]</f>
        <v>#DIV/0!</v>
      </c>
      <c r="X19" s="69" t="e">
        <f>Table1435[[#This Row],[Total Cost Per Serving (O+Q)/J]]*Table1435[[#This Row],[Estimated Servings Annual]]</f>
        <v>#DIV/0!</v>
      </c>
    </row>
    <row r="20" spans="1:24" x14ac:dyDescent="0.35">
      <c r="A20" s="30" t="s">
        <v>49</v>
      </c>
      <c r="B20" s="28" t="s">
        <v>105</v>
      </c>
      <c r="C20" s="7" t="s">
        <v>103</v>
      </c>
      <c r="D20" s="7"/>
      <c r="E20" s="7"/>
      <c r="F20" s="7"/>
      <c r="G20" s="7"/>
      <c r="H20" s="7"/>
      <c r="I20" s="7"/>
      <c r="J20" s="7"/>
      <c r="K20" s="49">
        <v>350000</v>
      </c>
      <c r="L20" s="7"/>
      <c r="M20" s="7"/>
      <c r="N20" s="7"/>
      <c r="O20" s="7"/>
      <c r="P20" s="7"/>
      <c r="Q20" s="7"/>
      <c r="R20" s="7"/>
      <c r="S20" s="70">
        <f>(Table1435[[#This Row],[Commercial Bid Price per case for NOI ($)]]-Table1435[[#This Row],[Pass-Thru Value per case ($)]])+Table1435[[#This Row],[Region 1: Fixed Fee Per Case ($)]]</f>
        <v>0</v>
      </c>
      <c r="T20" s="71" t="e">
        <f>(Table1435[[#This Row],[Commercial Bid Price per case for NOI ($)]]+Table1435[[#This Row],[Region 1: Fixed Fee Per Case ($)]])/Table1435[[#This Row],['# of CN Servings per case]]</f>
        <v>#DIV/0!</v>
      </c>
      <c r="U20" s="71" t="e">
        <f>Table1435[[#This Row],[Total Cost Per Serving (O+P)/J]]*Table1435[[#This Row],[Estimated Servings Annual]]</f>
        <v>#DIV/0!</v>
      </c>
      <c r="V20" s="70">
        <f>(Table1435[[#This Row],[Commercial Bid Price per case for NOI ($)]]-Table1435[[#This Row],[Pass-Thru Value per case ($)]])+Table1435[[#This Row],[Region 2: Fixed Fee Per Case ($)]]</f>
        <v>0</v>
      </c>
      <c r="W20" s="71" t="e">
        <f>(Table1435[[#This Row],[Commercial Bid Price per case for NOI ($)]]+Table1435[[#This Row],[Region 2: Fixed Fee Per Case ($)]])/Table1435[[#This Row],['# of CN Servings per case]]</f>
        <v>#DIV/0!</v>
      </c>
      <c r="X20" s="72" t="e">
        <f>Table1435[[#This Row],[Total Cost Per Serving (O+Q)/J]]*Table1435[[#This Row],[Estimated Servings Annual]]</f>
        <v>#DIV/0!</v>
      </c>
    </row>
    <row r="21" spans="1:24" x14ac:dyDescent="0.35">
      <c r="A21" s="30" t="s">
        <v>49</v>
      </c>
      <c r="B21" s="28" t="s">
        <v>105</v>
      </c>
      <c r="C21" s="7" t="s">
        <v>83</v>
      </c>
      <c r="D21" s="7"/>
      <c r="E21" s="7"/>
      <c r="F21" s="7"/>
      <c r="G21" s="7"/>
      <c r="H21" s="7"/>
      <c r="I21" s="7"/>
      <c r="J21" s="7"/>
      <c r="K21" s="49">
        <v>350000</v>
      </c>
      <c r="L21" s="7"/>
      <c r="M21" s="7"/>
      <c r="N21" s="7"/>
      <c r="O21" s="7"/>
      <c r="P21" s="7"/>
      <c r="Q21" s="7"/>
      <c r="R21" s="7"/>
      <c r="S21" s="70">
        <f>(Table1435[[#This Row],[Commercial Bid Price per case for NOI ($)]]-Table1435[[#This Row],[Pass-Thru Value per case ($)]])+Table1435[[#This Row],[Region 1: Fixed Fee Per Case ($)]]</f>
        <v>0</v>
      </c>
      <c r="T21" s="71" t="e">
        <f>(Table1435[[#This Row],[Commercial Bid Price per case for NOI ($)]]+Table1435[[#This Row],[Region 1: Fixed Fee Per Case ($)]])/Table1435[[#This Row],['# of CN Servings per case]]</f>
        <v>#DIV/0!</v>
      </c>
      <c r="U21" s="71" t="e">
        <f>Table1435[[#This Row],[Total Cost Per Serving (O+P)/J]]*Table1435[[#This Row],[Estimated Servings Annual]]</f>
        <v>#DIV/0!</v>
      </c>
      <c r="V21" s="70">
        <f>(Table1435[[#This Row],[Commercial Bid Price per case for NOI ($)]]-Table1435[[#This Row],[Pass-Thru Value per case ($)]])+Table1435[[#This Row],[Region 2: Fixed Fee Per Case ($)]]</f>
        <v>0</v>
      </c>
      <c r="W21" s="71" t="e">
        <f>(Table1435[[#This Row],[Commercial Bid Price per case for NOI ($)]]+Table1435[[#This Row],[Region 2: Fixed Fee Per Case ($)]])/Table1435[[#This Row],['# of CN Servings per case]]</f>
        <v>#DIV/0!</v>
      </c>
      <c r="X21" s="72" t="e">
        <f>Table1435[[#This Row],[Total Cost Per Serving (O+Q)/J]]*Table1435[[#This Row],[Estimated Servings Annual]]</f>
        <v>#DIV/0!</v>
      </c>
    </row>
    <row r="22" spans="1:24" x14ac:dyDescent="0.35">
      <c r="A22" s="30" t="s">
        <v>49</v>
      </c>
      <c r="B22" s="28" t="s">
        <v>105</v>
      </c>
      <c r="C22" s="7" t="s">
        <v>83</v>
      </c>
      <c r="D22" s="7"/>
      <c r="E22" s="7"/>
      <c r="F22" s="7"/>
      <c r="G22" s="7"/>
      <c r="H22" s="7"/>
      <c r="I22" s="7"/>
      <c r="J22" s="7"/>
      <c r="K22" s="49">
        <v>350000</v>
      </c>
      <c r="L22" s="7"/>
      <c r="M22" s="7"/>
      <c r="N22" s="7"/>
      <c r="O22" s="7"/>
      <c r="P22" s="7"/>
      <c r="Q22" s="7"/>
      <c r="R22" s="7"/>
      <c r="S22" s="70">
        <f>(Table1435[[#This Row],[Commercial Bid Price per case for NOI ($)]]-Table1435[[#This Row],[Pass-Thru Value per case ($)]])+Table1435[[#This Row],[Region 1: Fixed Fee Per Case ($)]]</f>
        <v>0</v>
      </c>
      <c r="T22" s="71" t="e">
        <f>(Table1435[[#This Row],[Commercial Bid Price per case for NOI ($)]]+Table1435[[#This Row],[Region 1: Fixed Fee Per Case ($)]])/Table1435[[#This Row],['# of CN Servings per case]]</f>
        <v>#DIV/0!</v>
      </c>
      <c r="U22" s="71" t="e">
        <f>Table1435[[#This Row],[Total Cost Per Serving (O+P)/J]]*Table1435[[#This Row],[Estimated Servings Annual]]</f>
        <v>#DIV/0!</v>
      </c>
      <c r="V22" s="70">
        <f>(Table1435[[#This Row],[Commercial Bid Price per case for NOI ($)]]-Table1435[[#This Row],[Pass-Thru Value per case ($)]])+Table1435[[#This Row],[Region 2: Fixed Fee Per Case ($)]]</f>
        <v>0</v>
      </c>
      <c r="W22" s="71" t="e">
        <f>(Table1435[[#This Row],[Commercial Bid Price per case for NOI ($)]]+Table1435[[#This Row],[Region 2: Fixed Fee Per Case ($)]])/Table1435[[#This Row],['# of CN Servings per case]]</f>
        <v>#DIV/0!</v>
      </c>
      <c r="X22" s="72" t="e">
        <f>Table1435[[#This Row],[Total Cost Per Serving (O+Q)/J]]*Table1435[[#This Row],[Estimated Servings Annual]]</f>
        <v>#DIV/0!</v>
      </c>
    </row>
    <row r="23" spans="1:24" x14ac:dyDescent="0.35">
      <c r="A23" s="30" t="s">
        <v>49</v>
      </c>
      <c r="B23" s="28" t="s">
        <v>105</v>
      </c>
      <c r="C23" s="7" t="s">
        <v>31</v>
      </c>
      <c r="D23" s="7"/>
      <c r="E23" s="7"/>
      <c r="F23" s="7"/>
      <c r="G23" s="7"/>
      <c r="H23" s="7"/>
      <c r="I23" s="7"/>
      <c r="J23" s="7"/>
      <c r="K23" s="49">
        <v>350000</v>
      </c>
      <c r="L23" s="7"/>
      <c r="M23" s="7"/>
      <c r="N23" s="7"/>
      <c r="O23" s="7"/>
      <c r="P23" s="7"/>
      <c r="Q23" s="7"/>
      <c r="R23" s="7"/>
      <c r="S23" s="70">
        <f>(Table1435[[#This Row],[Commercial Bid Price per case for NOI ($)]]-Table1435[[#This Row],[Pass-Thru Value per case ($)]])+Table1435[[#This Row],[Region 1: Fixed Fee Per Case ($)]]</f>
        <v>0</v>
      </c>
      <c r="T23" s="71" t="e">
        <f>(Table1435[[#This Row],[Commercial Bid Price per case for NOI ($)]]+Table1435[[#This Row],[Region 1: Fixed Fee Per Case ($)]])/Table1435[[#This Row],['# of CN Servings per case]]</f>
        <v>#DIV/0!</v>
      </c>
      <c r="U23" s="71" t="e">
        <f>Table1435[[#This Row],[Total Cost Per Serving (O+P)/J]]*Table1435[[#This Row],[Estimated Servings Annual]]</f>
        <v>#DIV/0!</v>
      </c>
      <c r="V23" s="70">
        <f>(Table1435[[#This Row],[Commercial Bid Price per case for NOI ($)]]-Table1435[[#This Row],[Pass-Thru Value per case ($)]])+Table1435[[#This Row],[Region 2: Fixed Fee Per Case ($)]]</f>
        <v>0</v>
      </c>
      <c r="W23" s="71" t="e">
        <f>(Table1435[[#This Row],[Commercial Bid Price per case for NOI ($)]]+Table1435[[#This Row],[Region 2: Fixed Fee Per Case ($)]])/Table1435[[#This Row],['# of CN Servings per case]]</f>
        <v>#DIV/0!</v>
      </c>
      <c r="X23" s="72" t="e">
        <f>Table1435[[#This Row],[Total Cost Per Serving (O+Q)/J]]*Table1435[[#This Row],[Estimated Servings Annual]]</f>
        <v>#DIV/0!</v>
      </c>
    </row>
    <row r="24" spans="1:24" x14ac:dyDescent="0.35">
      <c r="A24" s="30" t="s">
        <v>49</v>
      </c>
      <c r="B24" s="28" t="s">
        <v>105</v>
      </c>
      <c r="C24" s="7" t="s">
        <v>31</v>
      </c>
      <c r="D24" s="7"/>
      <c r="E24" s="7"/>
      <c r="F24" s="7"/>
      <c r="G24" s="7"/>
      <c r="H24" s="7"/>
      <c r="I24" s="7"/>
      <c r="J24" s="7"/>
      <c r="K24" s="49">
        <v>350000</v>
      </c>
      <c r="L24" s="7"/>
      <c r="M24" s="7"/>
      <c r="N24" s="7"/>
      <c r="O24" s="7"/>
      <c r="P24" s="7"/>
      <c r="Q24" s="7"/>
      <c r="R24" s="7"/>
      <c r="S24" s="70">
        <f>(Table1435[[#This Row],[Commercial Bid Price per case for NOI ($)]]-Table1435[[#This Row],[Pass-Thru Value per case ($)]])+Table1435[[#This Row],[Region 1: Fixed Fee Per Case ($)]]</f>
        <v>0</v>
      </c>
      <c r="T24" s="71" t="e">
        <f>(Table1435[[#This Row],[Commercial Bid Price per case for NOI ($)]]+Table1435[[#This Row],[Region 1: Fixed Fee Per Case ($)]])/Table1435[[#This Row],['# of CN Servings per case]]</f>
        <v>#DIV/0!</v>
      </c>
      <c r="U24" s="71" t="e">
        <f>Table1435[[#This Row],[Total Cost Per Serving (O+P)/J]]*Table1435[[#This Row],[Estimated Servings Annual]]</f>
        <v>#DIV/0!</v>
      </c>
      <c r="V24" s="70">
        <f>(Table1435[[#This Row],[Commercial Bid Price per case for NOI ($)]]-Table1435[[#This Row],[Pass-Thru Value per case ($)]])+Table1435[[#This Row],[Region 2: Fixed Fee Per Case ($)]]</f>
        <v>0</v>
      </c>
      <c r="W24" s="71" t="e">
        <f>(Table1435[[#This Row],[Commercial Bid Price per case for NOI ($)]]+Table1435[[#This Row],[Region 2: Fixed Fee Per Case ($)]])/Table1435[[#This Row],['# of CN Servings per case]]</f>
        <v>#DIV/0!</v>
      </c>
      <c r="X24" s="72" t="e">
        <f>Table1435[[#This Row],[Total Cost Per Serving (O+Q)/J]]*Table1435[[#This Row],[Estimated Servings Annual]]</f>
        <v>#DIV/0!</v>
      </c>
    </row>
    <row r="25" spans="1:24" x14ac:dyDescent="0.35">
      <c r="A25" s="30" t="s">
        <v>49</v>
      </c>
      <c r="B25" s="28" t="s">
        <v>105</v>
      </c>
      <c r="C25" s="7" t="s">
        <v>13</v>
      </c>
      <c r="D25" s="7"/>
      <c r="E25" s="7"/>
      <c r="F25" s="7"/>
      <c r="G25" s="7"/>
      <c r="H25" s="7"/>
      <c r="I25" s="7"/>
      <c r="J25" s="7"/>
      <c r="K25" s="49">
        <v>350000</v>
      </c>
      <c r="L25" s="7"/>
      <c r="M25" s="7"/>
      <c r="N25" s="7"/>
      <c r="O25" s="7"/>
      <c r="P25" s="7"/>
      <c r="Q25" s="7"/>
      <c r="R25" s="7"/>
      <c r="S25" s="70">
        <f>(Table1435[[#This Row],[Commercial Bid Price per case for NOI ($)]]-Table1435[[#This Row],[Pass-Thru Value per case ($)]])+Table1435[[#This Row],[Region 1: Fixed Fee Per Case ($)]]</f>
        <v>0</v>
      </c>
      <c r="T25" s="71" t="e">
        <f>(Table1435[[#This Row],[Commercial Bid Price per case for NOI ($)]]+Table1435[[#This Row],[Region 1: Fixed Fee Per Case ($)]])/Table1435[[#This Row],['# of CN Servings per case]]</f>
        <v>#DIV/0!</v>
      </c>
      <c r="U25" s="71" t="e">
        <f>Table1435[[#This Row],[Total Cost Per Serving (O+P)/J]]*Table1435[[#This Row],[Estimated Servings Annual]]</f>
        <v>#DIV/0!</v>
      </c>
      <c r="V25" s="70">
        <f>(Table1435[[#This Row],[Commercial Bid Price per case for NOI ($)]]-Table1435[[#This Row],[Pass-Thru Value per case ($)]])+Table1435[[#This Row],[Region 2: Fixed Fee Per Case ($)]]</f>
        <v>0</v>
      </c>
      <c r="W25" s="71" t="e">
        <f>(Table1435[[#This Row],[Commercial Bid Price per case for NOI ($)]]+Table1435[[#This Row],[Region 2: Fixed Fee Per Case ($)]])/Table1435[[#This Row],['# of CN Servings per case]]</f>
        <v>#DIV/0!</v>
      </c>
      <c r="X25" s="72" t="e">
        <f>Table1435[[#This Row],[Total Cost Per Serving (O+Q)/J]]*Table1435[[#This Row],[Estimated Servings Annual]]</f>
        <v>#DIV/0!</v>
      </c>
    </row>
    <row r="26" spans="1:24" ht="15" thickBot="1" x14ac:dyDescent="0.4">
      <c r="A26" s="30" t="s">
        <v>49</v>
      </c>
      <c r="B26" s="32" t="s">
        <v>105</v>
      </c>
      <c r="C26" s="8" t="s">
        <v>13</v>
      </c>
      <c r="D26" s="8"/>
      <c r="E26" s="8"/>
      <c r="F26" s="8"/>
      <c r="G26" s="8"/>
      <c r="H26" s="8"/>
      <c r="I26" s="8"/>
      <c r="J26" s="8"/>
      <c r="K26" s="50">
        <v>350000</v>
      </c>
      <c r="L26" s="8"/>
      <c r="M26" s="8"/>
      <c r="N26" s="8"/>
      <c r="O26" s="8"/>
      <c r="P26" s="8"/>
      <c r="Q26" s="8"/>
      <c r="R26" s="8"/>
      <c r="S26" s="73">
        <f>(Table1435[[#This Row],[Commercial Bid Price per case for NOI ($)]]-Table1435[[#This Row],[Pass-Thru Value per case ($)]])+Table1435[[#This Row],[Region 1: Fixed Fee Per Case ($)]]</f>
        <v>0</v>
      </c>
      <c r="T26" s="74" t="e">
        <f>(Table1435[[#This Row],[Commercial Bid Price per case for NOI ($)]]+Table1435[[#This Row],[Region 1: Fixed Fee Per Case ($)]])/Table1435[[#This Row],['# of CN Servings per case]]</f>
        <v>#DIV/0!</v>
      </c>
      <c r="U26" s="74" t="e">
        <f>Table1435[[#This Row],[Total Cost Per Serving (O+P)/J]]*Table1435[[#This Row],[Estimated Servings Annual]]</f>
        <v>#DIV/0!</v>
      </c>
      <c r="V26" s="73">
        <f>(Table1435[[#This Row],[Commercial Bid Price per case for NOI ($)]]-Table1435[[#This Row],[Pass-Thru Value per case ($)]])+Table1435[[#This Row],[Region 2: Fixed Fee Per Case ($)]]</f>
        <v>0</v>
      </c>
      <c r="W26" s="74" t="e">
        <f>(Table1435[[#This Row],[Commercial Bid Price per case for NOI ($)]]+Table1435[[#This Row],[Region 2: Fixed Fee Per Case ($)]])/Table1435[[#This Row],['# of CN Servings per case]]</f>
        <v>#DIV/0!</v>
      </c>
      <c r="X26" s="75" t="e">
        <f>Table1435[[#This Row],[Total Cost Per Serving (O+Q)/J]]*Table1435[[#This Row],[Estimated Servings Annual]]</f>
        <v>#DIV/0!</v>
      </c>
    </row>
    <row r="27" spans="1:24" x14ac:dyDescent="0.35">
      <c r="A27" s="52" t="s">
        <v>49</v>
      </c>
      <c r="B27" s="54" t="s">
        <v>106</v>
      </c>
      <c r="C27" s="22" t="s">
        <v>28</v>
      </c>
      <c r="D27" s="6"/>
      <c r="E27" s="6"/>
      <c r="F27" s="6"/>
      <c r="G27" s="6"/>
      <c r="H27" s="6"/>
      <c r="I27" s="6"/>
      <c r="J27" s="6"/>
      <c r="K27" s="48">
        <v>150000</v>
      </c>
      <c r="L27" s="6"/>
      <c r="M27" s="6"/>
      <c r="N27" s="6"/>
      <c r="O27" s="6"/>
      <c r="P27" s="6"/>
      <c r="Q27" s="6"/>
      <c r="R27" s="6"/>
      <c r="S27" s="67">
        <f>(Table1435[[#This Row],[Commercial Bid Price per case for NOI ($)]]-Table1435[[#This Row],[Pass-Thru Value per case ($)]])+Table1435[[#This Row],[Region 1: Fixed Fee Per Case ($)]]</f>
        <v>0</v>
      </c>
      <c r="T27" s="68" t="e">
        <f>(Table1435[[#This Row],[Commercial Bid Price per case for NOI ($)]]+Table1435[[#This Row],[Region 1: Fixed Fee Per Case ($)]])/Table1435[[#This Row],['# of CN Servings per case]]</f>
        <v>#DIV/0!</v>
      </c>
      <c r="U27" s="68" t="e">
        <f>Table1435[[#This Row],[Total Cost Per Serving (O+P)/J]]*Table1435[[#This Row],[Estimated Servings Annual]]</f>
        <v>#DIV/0!</v>
      </c>
      <c r="V27" s="67">
        <f>(Table1435[[#This Row],[Commercial Bid Price per case for NOI ($)]]-Table1435[[#This Row],[Pass-Thru Value per case ($)]])+Table1435[[#This Row],[Region 2: Fixed Fee Per Case ($)]]</f>
        <v>0</v>
      </c>
      <c r="W27" s="68" t="e">
        <f>(Table1435[[#This Row],[Commercial Bid Price per case for NOI ($)]]+Table1435[[#This Row],[Region 2: Fixed Fee Per Case ($)]])/Table1435[[#This Row],['# of CN Servings per case]]</f>
        <v>#DIV/0!</v>
      </c>
      <c r="X27" s="69" t="e">
        <f>Table1435[[#This Row],[Total Cost Per Serving (O+Q)/J]]*Table1435[[#This Row],[Estimated Servings Annual]]</f>
        <v>#DIV/0!</v>
      </c>
    </row>
    <row r="28" spans="1:24" x14ac:dyDescent="0.35">
      <c r="A28" s="52" t="s">
        <v>49</v>
      </c>
      <c r="B28" s="55" t="s">
        <v>106</v>
      </c>
      <c r="C28" s="23" t="s">
        <v>28</v>
      </c>
      <c r="D28" s="7"/>
      <c r="E28" s="7"/>
      <c r="F28" s="7"/>
      <c r="G28" s="7"/>
      <c r="H28" s="7"/>
      <c r="I28" s="7"/>
      <c r="J28" s="7"/>
      <c r="K28" s="49">
        <v>150000</v>
      </c>
      <c r="L28" s="7"/>
      <c r="M28" s="7"/>
      <c r="N28" s="7"/>
      <c r="O28" s="7"/>
      <c r="P28" s="7"/>
      <c r="Q28" s="7"/>
      <c r="R28" s="7"/>
      <c r="S28" s="70">
        <f>(Table1435[[#This Row],[Commercial Bid Price per case for NOI ($)]]-Table1435[[#This Row],[Pass-Thru Value per case ($)]])+Table1435[[#This Row],[Region 1: Fixed Fee Per Case ($)]]</f>
        <v>0</v>
      </c>
      <c r="T28" s="71" t="e">
        <f>(Table1435[[#This Row],[Commercial Bid Price per case for NOI ($)]]+Table1435[[#This Row],[Region 1: Fixed Fee Per Case ($)]])/Table1435[[#This Row],['# of CN Servings per case]]</f>
        <v>#DIV/0!</v>
      </c>
      <c r="U28" s="71" t="e">
        <f>Table1435[[#This Row],[Total Cost Per Serving (O+P)/J]]*Table1435[[#This Row],[Estimated Servings Annual]]</f>
        <v>#DIV/0!</v>
      </c>
      <c r="V28" s="70">
        <f>(Table1435[[#This Row],[Commercial Bid Price per case for NOI ($)]]-Table1435[[#This Row],[Pass-Thru Value per case ($)]])+Table1435[[#This Row],[Region 2: Fixed Fee Per Case ($)]]</f>
        <v>0</v>
      </c>
      <c r="W28" s="71" t="e">
        <f>(Table1435[[#This Row],[Commercial Bid Price per case for NOI ($)]]+Table1435[[#This Row],[Region 2: Fixed Fee Per Case ($)]])/Table1435[[#This Row],['# of CN Servings per case]]</f>
        <v>#DIV/0!</v>
      </c>
      <c r="X28" s="72" t="e">
        <f>Table1435[[#This Row],[Total Cost Per Serving (O+Q)/J]]*Table1435[[#This Row],[Estimated Servings Annual]]</f>
        <v>#DIV/0!</v>
      </c>
    </row>
    <row r="29" spans="1:24" x14ac:dyDescent="0.35">
      <c r="A29" s="52" t="s">
        <v>49</v>
      </c>
      <c r="B29" s="55" t="s">
        <v>106</v>
      </c>
      <c r="C29" s="23" t="s">
        <v>101</v>
      </c>
      <c r="D29" s="7"/>
      <c r="E29" s="7"/>
      <c r="F29" s="7"/>
      <c r="G29" s="7"/>
      <c r="H29" s="7"/>
      <c r="I29" s="7"/>
      <c r="J29" s="7"/>
      <c r="K29" s="49">
        <v>150000</v>
      </c>
      <c r="L29" s="7"/>
      <c r="M29" s="7"/>
      <c r="N29" s="7"/>
      <c r="O29" s="7"/>
      <c r="P29" s="7"/>
      <c r="Q29" s="7"/>
      <c r="R29" s="7"/>
      <c r="S29" s="70">
        <f>(Table1435[[#This Row],[Commercial Bid Price per case for NOI ($)]]-Table1435[[#This Row],[Pass-Thru Value per case ($)]])+Table1435[[#This Row],[Region 1: Fixed Fee Per Case ($)]]</f>
        <v>0</v>
      </c>
      <c r="T29" s="71" t="e">
        <f>(Table1435[[#This Row],[Commercial Bid Price per case for NOI ($)]]+Table1435[[#This Row],[Region 1: Fixed Fee Per Case ($)]])/Table1435[[#This Row],['# of CN Servings per case]]</f>
        <v>#DIV/0!</v>
      </c>
      <c r="U29" s="71" t="e">
        <f>Table1435[[#This Row],[Total Cost Per Serving (O+P)/J]]*Table1435[[#This Row],[Estimated Servings Annual]]</f>
        <v>#DIV/0!</v>
      </c>
      <c r="V29" s="70">
        <f>(Table1435[[#This Row],[Commercial Bid Price per case for NOI ($)]]-Table1435[[#This Row],[Pass-Thru Value per case ($)]])+Table1435[[#This Row],[Region 2: Fixed Fee Per Case ($)]]</f>
        <v>0</v>
      </c>
      <c r="W29" s="71" t="e">
        <f>(Table1435[[#This Row],[Commercial Bid Price per case for NOI ($)]]+Table1435[[#This Row],[Region 2: Fixed Fee Per Case ($)]])/Table1435[[#This Row],['# of CN Servings per case]]</f>
        <v>#DIV/0!</v>
      </c>
      <c r="X29" s="72" t="e">
        <f>Table1435[[#This Row],[Total Cost Per Serving (O+Q)/J]]*Table1435[[#This Row],[Estimated Servings Annual]]</f>
        <v>#DIV/0!</v>
      </c>
    </row>
    <row r="30" spans="1:24" x14ac:dyDescent="0.35">
      <c r="A30" s="52" t="s">
        <v>49</v>
      </c>
      <c r="B30" s="55" t="s">
        <v>106</v>
      </c>
      <c r="C30" s="23" t="s">
        <v>101</v>
      </c>
      <c r="D30" s="7"/>
      <c r="E30" s="7"/>
      <c r="F30" s="7"/>
      <c r="G30" s="7"/>
      <c r="H30" s="7"/>
      <c r="I30" s="7"/>
      <c r="J30" s="7"/>
      <c r="K30" s="49">
        <v>150000</v>
      </c>
      <c r="L30" s="7"/>
      <c r="M30" s="7"/>
      <c r="N30" s="7"/>
      <c r="O30" s="7"/>
      <c r="P30" s="7"/>
      <c r="Q30" s="7"/>
      <c r="R30" s="7"/>
      <c r="S30" s="70">
        <f>(Table1435[[#This Row],[Commercial Bid Price per case for NOI ($)]]-Table1435[[#This Row],[Pass-Thru Value per case ($)]])+Table1435[[#This Row],[Region 1: Fixed Fee Per Case ($)]]</f>
        <v>0</v>
      </c>
      <c r="T30" s="71" t="e">
        <f>(Table1435[[#This Row],[Commercial Bid Price per case for NOI ($)]]+Table1435[[#This Row],[Region 1: Fixed Fee Per Case ($)]])/Table1435[[#This Row],['# of CN Servings per case]]</f>
        <v>#DIV/0!</v>
      </c>
      <c r="U30" s="71" t="e">
        <f>Table1435[[#This Row],[Total Cost Per Serving (O+P)/J]]*Table1435[[#This Row],[Estimated Servings Annual]]</f>
        <v>#DIV/0!</v>
      </c>
      <c r="V30" s="70">
        <f>(Table1435[[#This Row],[Commercial Bid Price per case for NOI ($)]]-Table1435[[#This Row],[Pass-Thru Value per case ($)]])+Table1435[[#This Row],[Region 2: Fixed Fee Per Case ($)]]</f>
        <v>0</v>
      </c>
      <c r="W30" s="71" t="e">
        <f>(Table1435[[#This Row],[Commercial Bid Price per case for NOI ($)]]+Table1435[[#This Row],[Region 2: Fixed Fee Per Case ($)]])/Table1435[[#This Row],['# of CN Servings per case]]</f>
        <v>#DIV/0!</v>
      </c>
      <c r="X30" s="72" t="e">
        <f>Table1435[[#This Row],[Total Cost Per Serving (O+Q)/J]]*Table1435[[#This Row],[Estimated Servings Annual]]</f>
        <v>#DIV/0!</v>
      </c>
    </row>
    <row r="31" spans="1:24" x14ac:dyDescent="0.35">
      <c r="A31" s="52" t="s">
        <v>49</v>
      </c>
      <c r="B31" s="55" t="s">
        <v>106</v>
      </c>
      <c r="C31" s="23" t="s">
        <v>50</v>
      </c>
      <c r="D31" s="7"/>
      <c r="E31" s="7"/>
      <c r="F31" s="7"/>
      <c r="G31" s="7"/>
      <c r="H31" s="7"/>
      <c r="I31" s="7"/>
      <c r="J31" s="7"/>
      <c r="K31" s="49">
        <v>150000</v>
      </c>
      <c r="L31" s="7"/>
      <c r="M31" s="7"/>
      <c r="N31" s="7"/>
      <c r="O31" s="7"/>
      <c r="P31" s="7"/>
      <c r="Q31" s="7"/>
      <c r="R31" s="7"/>
      <c r="S31" s="70">
        <f>(Table1435[[#This Row],[Commercial Bid Price per case for NOI ($)]]-Table1435[[#This Row],[Pass-Thru Value per case ($)]])+Table1435[[#This Row],[Region 1: Fixed Fee Per Case ($)]]</f>
        <v>0</v>
      </c>
      <c r="T31" s="71" t="e">
        <f>(Table1435[[#This Row],[Commercial Bid Price per case for NOI ($)]]+Table1435[[#This Row],[Region 1: Fixed Fee Per Case ($)]])/Table1435[[#This Row],['# of CN Servings per case]]</f>
        <v>#DIV/0!</v>
      </c>
      <c r="U31" s="71" t="e">
        <f>Table1435[[#This Row],[Total Cost Per Serving (O+P)/J]]*Table1435[[#This Row],[Estimated Servings Annual]]</f>
        <v>#DIV/0!</v>
      </c>
      <c r="V31" s="70">
        <f>(Table1435[[#This Row],[Commercial Bid Price per case for NOI ($)]]-Table1435[[#This Row],[Pass-Thru Value per case ($)]])+Table1435[[#This Row],[Region 2: Fixed Fee Per Case ($)]]</f>
        <v>0</v>
      </c>
      <c r="W31" s="71" t="e">
        <f>(Table1435[[#This Row],[Commercial Bid Price per case for NOI ($)]]+Table1435[[#This Row],[Region 2: Fixed Fee Per Case ($)]])/Table1435[[#This Row],['# of CN Servings per case]]</f>
        <v>#DIV/0!</v>
      </c>
      <c r="X31" s="72" t="e">
        <f>Table1435[[#This Row],[Total Cost Per Serving (O+Q)/J]]*Table1435[[#This Row],[Estimated Servings Annual]]</f>
        <v>#DIV/0!</v>
      </c>
    </row>
    <row r="32" spans="1:24" x14ac:dyDescent="0.35">
      <c r="A32" s="52" t="s">
        <v>49</v>
      </c>
      <c r="B32" s="55" t="s">
        <v>106</v>
      </c>
      <c r="C32" s="23" t="s">
        <v>50</v>
      </c>
      <c r="D32" s="7"/>
      <c r="E32" s="7"/>
      <c r="F32" s="7"/>
      <c r="G32" s="7"/>
      <c r="H32" s="7"/>
      <c r="I32" s="7"/>
      <c r="J32" s="7"/>
      <c r="K32" s="49">
        <v>150000</v>
      </c>
      <c r="L32" s="7"/>
      <c r="M32" s="7"/>
      <c r="N32" s="7"/>
      <c r="O32" s="7"/>
      <c r="P32" s="7"/>
      <c r="Q32" s="7"/>
      <c r="R32" s="7"/>
      <c r="S32" s="70">
        <f>(Table1435[[#This Row],[Commercial Bid Price per case for NOI ($)]]-Table1435[[#This Row],[Pass-Thru Value per case ($)]])+Table1435[[#This Row],[Region 1: Fixed Fee Per Case ($)]]</f>
        <v>0</v>
      </c>
      <c r="T32" s="71" t="e">
        <f>(Table1435[[#This Row],[Commercial Bid Price per case for NOI ($)]]+Table1435[[#This Row],[Region 1: Fixed Fee Per Case ($)]])/Table1435[[#This Row],['# of CN Servings per case]]</f>
        <v>#DIV/0!</v>
      </c>
      <c r="U32" s="71" t="e">
        <f>Table1435[[#This Row],[Total Cost Per Serving (O+P)/J]]*Table1435[[#This Row],[Estimated Servings Annual]]</f>
        <v>#DIV/0!</v>
      </c>
      <c r="V32" s="70">
        <f>(Table1435[[#This Row],[Commercial Bid Price per case for NOI ($)]]-Table1435[[#This Row],[Pass-Thru Value per case ($)]])+Table1435[[#This Row],[Region 2: Fixed Fee Per Case ($)]]</f>
        <v>0</v>
      </c>
      <c r="W32" s="71" t="e">
        <f>(Table1435[[#This Row],[Commercial Bid Price per case for NOI ($)]]+Table1435[[#This Row],[Region 2: Fixed Fee Per Case ($)]])/Table1435[[#This Row],['# of CN Servings per case]]</f>
        <v>#DIV/0!</v>
      </c>
      <c r="X32" s="72" t="e">
        <f>Table1435[[#This Row],[Total Cost Per Serving (O+Q)/J]]*Table1435[[#This Row],[Estimated Servings Annual]]</f>
        <v>#DIV/0!</v>
      </c>
    </row>
    <row r="33" spans="1:24" x14ac:dyDescent="0.35">
      <c r="A33" s="52" t="s">
        <v>49</v>
      </c>
      <c r="B33" s="55" t="s">
        <v>106</v>
      </c>
      <c r="C33" s="23" t="s">
        <v>13</v>
      </c>
      <c r="D33" s="7"/>
      <c r="E33" s="7"/>
      <c r="F33" s="7"/>
      <c r="G33" s="7"/>
      <c r="H33" s="7"/>
      <c r="I33" s="7"/>
      <c r="J33" s="7"/>
      <c r="K33" s="49">
        <v>150000</v>
      </c>
      <c r="L33" s="7"/>
      <c r="M33" s="7"/>
      <c r="N33" s="7"/>
      <c r="O33" s="7"/>
      <c r="P33" s="7"/>
      <c r="Q33" s="7"/>
      <c r="R33" s="7"/>
      <c r="S33" s="70">
        <f>(Table1435[[#This Row],[Commercial Bid Price per case for NOI ($)]]-Table1435[[#This Row],[Pass-Thru Value per case ($)]])+Table1435[[#This Row],[Region 1: Fixed Fee Per Case ($)]]</f>
        <v>0</v>
      </c>
      <c r="T33" s="71" t="e">
        <f>(Table1435[[#This Row],[Commercial Bid Price per case for NOI ($)]]+Table1435[[#This Row],[Region 1: Fixed Fee Per Case ($)]])/Table1435[[#This Row],['# of CN Servings per case]]</f>
        <v>#DIV/0!</v>
      </c>
      <c r="U33" s="71" t="e">
        <f>Table1435[[#This Row],[Total Cost Per Serving (O+P)/J]]*Table1435[[#This Row],[Estimated Servings Annual]]</f>
        <v>#DIV/0!</v>
      </c>
      <c r="V33" s="70">
        <f>(Table1435[[#This Row],[Commercial Bid Price per case for NOI ($)]]-Table1435[[#This Row],[Pass-Thru Value per case ($)]])+Table1435[[#This Row],[Region 2: Fixed Fee Per Case ($)]]</f>
        <v>0</v>
      </c>
      <c r="W33" s="71" t="e">
        <f>(Table1435[[#This Row],[Commercial Bid Price per case for NOI ($)]]+Table1435[[#This Row],[Region 2: Fixed Fee Per Case ($)]])/Table1435[[#This Row],['# of CN Servings per case]]</f>
        <v>#DIV/0!</v>
      </c>
      <c r="X33" s="72" t="e">
        <f>Table1435[[#This Row],[Total Cost Per Serving (O+Q)/J]]*Table1435[[#This Row],[Estimated Servings Annual]]</f>
        <v>#DIV/0!</v>
      </c>
    </row>
    <row r="34" spans="1:24" ht="15" thickBot="1" x14ac:dyDescent="0.4">
      <c r="A34" s="52" t="s">
        <v>49</v>
      </c>
      <c r="B34" s="56" t="s">
        <v>106</v>
      </c>
      <c r="C34" s="24" t="s">
        <v>13</v>
      </c>
      <c r="D34" s="8"/>
      <c r="E34" s="8"/>
      <c r="F34" s="8"/>
      <c r="G34" s="8"/>
      <c r="H34" s="8"/>
      <c r="I34" s="8"/>
      <c r="J34" s="8"/>
      <c r="K34" s="50">
        <v>150000</v>
      </c>
      <c r="L34" s="8"/>
      <c r="M34" s="8"/>
      <c r="N34" s="8"/>
      <c r="O34" s="8"/>
      <c r="P34" s="8"/>
      <c r="Q34" s="8"/>
      <c r="R34" s="8"/>
      <c r="S34" s="73">
        <f>(Table1435[[#This Row],[Commercial Bid Price per case for NOI ($)]]-Table1435[[#This Row],[Pass-Thru Value per case ($)]])+Table1435[[#This Row],[Region 1: Fixed Fee Per Case ($)]]</f>
        <v>0</v>
      </c>
      <c r="T34" s="74" t="e">
        <f>(Table1435[[#This Row],[Commercial Bid Price per case for NOI ($)]]+Table1435[[#This Row],[Region 1: Fixed Fee Per Case ($)]])/Table1435[[#This Row],['# of CN Servings per case]]</f>
        <v>#DIV/0!</v>
      </c>
      <c r="U34" s="74" t="e">
        <f>Table1435[[#This Row],[Total Cost Per Serving (O+P)/J]]*Table1435[[#This Row],[Estimated Servings Annual]]</f>
        <v>#DIV/0!</v>
      </c>
      <c r="V34" s="73">
        <f>(Table1435[[#This Row],[Commercial Bid Price per case for NOI ($)]]-Table1435[[#This Row],[Pass-Thru Value per case ($)]])+Table1435[[#This Row],[Region 2: Fixed Fee Per Case ($)]]</f>
        <v>0</v>
      </c>
      <c r="W34" s="74" t="e">
        <f>(Table1435[[#This Row],[Commercial Bid Price per case for NOI ($)]]+Table1435[[#This Row],[Region 2: Fixed Fee Per Case ($)]])/Table1435[[#This Row],['# of CN Servings per case]]</f>
        <v>#DIV/0!</v>
      </c>
      <c r="X34" s="75" t="e">
        <f>Table1435[[#This Row],[Total Cost Per Serving (O+Q)/J]]*Table1435[[#This Row],[Estimated Servings Annual]]</f>
        <v>#DIV/0!</v>
      </c>
    </row>
    <row r="35" spans="1:24" x14ac:dyDescent="0.35">
      <c r="A35" s="30" t="s">
        <v>49</v>
      </c>
      <c r="B35" s="53" t="s">
        <v>107</v>
      </c>
      <c r="C35" s="6" t="s">
        <v>108</v>
      </c>
      <c r="D35" s="6"/>
      <c r="E35" s="6"/>
      <c r="F35" s="6"/>
      <c r="G35" s="6"/>
      <c r="H35" s="6"/>
      <c r="I35" s="6"/>
      <c r="J35" s="6"/>
      <c r="K35" s="48">
        <v>150000</v>
      </c>
      <c r="L35" s="6"/>
      <c r="M35" s="6"/>
      <c r="N35" s="6"/>
      <c r="O35" s="6"/>
      <c r="P35" s="6"/>
      <c r="Q35" s="6"/>
      <c r="R35" s="6"/>
      <c r="S35" s="67">
        <f>(Table1435[[#This Row],[Commercial Bid Price per case for NOI ($)]]-Table1435[[#This Row],[Pass-Thru Value per case ($)]])+Table1435[[#This Row],[Region 1: Fixed Fee Per Case ($)]]</f>
        <v>0</v>
      </c>
      <c r="T35" s="76" t="e">
        <f>(Table1435[[#This Row],[Commercial Bid Price per case for NOI ($)]]+Table1435[[#This Row],[Region 1: Fixed Fee Per Case ($)]])/Table1435[[#This Row],['# of CN Servings per case]]</f>
        <v>#DIV/0!</v>
      </c>
      <c r="U35" s="68" t="e">
        <f>Table1435[[#This Row],[Total Cost Per Serving (O+P)/J]]*Table1435[[#This Row],[Estimated Servings Annual]]</f>
        <v>#DIV/0!</v>
      </c>
      <c r="V35" s="67">
        <f>(Table1435[[#This Row],[Commercial Bid Price per case for NOI ($)]]-Table1435[[#This Row],[Pass-Thru Value per case ($)]])+Table1435[[#This Row],[Region 2: Fixed Fee Per Case ($)]]</f>
        <v>0</v>
      </c>
      <c r="W35" s="76" t="e">
        <f>(Table1435[[#This Row],[Commercial Bid Price per case for NOI ($)]]+Table1435[[#This Row],[Region 2: Fixed Fee Per Case ($)]])/Table1435[[#This Row],['# of CN Servings per case]]</f>
        <v>#DIV/0!</v>
      </c>
      <c r="X35" s="69" t="e">
        <f>Table1435[[#This Row],[Total Cost Per Serving (O+Q)/J]]*Table1435[[#This Row],[Estimated Servings Annual]]</f>
        <v>#DIV/0!</v>
      </c>
    </row>
    <row r="36" spans="1:24" x14ac:dyDescent="0.35">
      <c r="A36" s="30" t="s">
        <v>49</v>
      </c>
      <c r="B36" s="44" t="s">
        <v>107</v>
      </c>
      <c r="C36" s="7" t="s">
        <v>108</v>
      </c>
      <c r="D36" s="7"/>
      <c r="E36" s="7"/>
      <c r="F36" s="7"/>
      <c r="G36" s="7"/>
      <c r="H36" s="7"/>
      <c r="I36" s="7"/>
      <c r="J36" s="7"/>
      <c r="K36" s="49">
        <v>150000</v>
      </c>
      <c r="L36" s="7"/>
      <c r="M36" s="7"/>
      <c r="N36" s="7"/>
      <c r="O36" s="7"/>
      <c r="P36" s="7"/>
      <c r="Q36" s="7"/>
      <c r="R36" s="7"/>
      <c r="S36" s="70">
        <f>(Table1435[[#This Row],[Commercial Bid Price per case for NOI ($)]]-Table1435[[#This Row],[Pass-Thru Value per case ($)]])+Table1435[[#This Row],[Region 1: Fixed Fee Per Case ($)]]</f>
        <v>0</v>
      </c>
      <c r="T36" s="77" t="e">
        <f>(Table1435[[#This Row],[Commercial Bid Price per case for NOI ($)]]+Table1435[[#This Row],[Region 1: Fixed Fee Per Case ($)]])/Table1435[[#This Row],['# of CN Servings per case]]</f>
        <v>#DIV/0!</v>
      </c>
      <c r="U36" s="71" t="e">
        <f>Table1435[[#This Row],[Total Cost Per Serving (O+P)/J]]*Table1435[[#This Row],[Estimated Servings Annual]]</f>
        <v>#DIV/0!</v>
      </c>
      <c r="V36" s="70">
        <f>(Table1435[[#This Row],[Commercial Bid Price per case for NOI ($)]]-Table1435[[#This Row],[Pass-Thru Value per case ($)]])+Table1435[[#This Row],[Region 2: Fixed Fee Per Case ($)]]</f>
        <v>0</v>
      </c>
      <c r="W36" s="77" t="e">
        <f>(Table1435[[#This Row],[Commercial Bid Price per case for NOI ($)]]+Table1435[[#This Row],[Region 2: Fixed Fee Per Case ($)]])/Table1435[[#This Row],['# of CN Servings per case]]</f>
        <v>#DIV/0!</v>
      </c>
      <c r="X36" s="72" t="e">
        <f>Table1435[[#This Row],[Total Cost Per Serving (O+Q)/J]]*Table1435[[#This Row],[Estimated Servings Annual]]</f>
        <v>#DIV/0!</v>
      </c>
    </row>
    <row r="37" spans="1:24" x14ac:dyDescent="0.35">
      <c r="A37" s="30" t="s">
        <v>49</v>
      </c>
      <c r="B37" s="44" t="s">
        <v>107</v>
      </c>
      <c r="C37" s="7" t="s">
        <v>13</v>
      </c>
      <c r="D37" s="7"/>
      <c r="E37" s="7"/>
      <c r="F37" s="7"/>
      <c r="G37" s="7"/>
      <c r="H37" s="7"/>
      <c r="I37" s="7"/>
      <c r="J37" s="7"/>
      <c r="K37" s="49">
        <v>150000</v>
      </c>
      <c r="L37" s="7"/>
      <c r="M37" s="7"/>
      <c r="N37" s="7"/>
      <c r="O37" s="7"/>
      <c r="P37" s="7"/>
      <c r="Q37" s="7"/>
      <c r="R37" s="7"/>
      <c r="S37" s="70">
        <f>(Table1435[[#This Row],[Commercial Bid Price per case for NOI ($)]]-Table1435[[#This Row],[Pass-Thru Value per case ($)]])+Table1435[[#This Row],[Region 1: Fixed Fee Per Case ($)]]</f>
        <v>0</v>
      </c>
      <c r="T37" s="77" t="e">
        <f>(Table1435[[#This Row],[Commercial Bid Price per case for NOI ($)]]+Table1435[[#This Row],[Region 1: Fixed Fee Per Case ($)]])/Table1435[[#This Row],['# of CN Servings per case]]</f>
        <v>#DIV/0!</v>
      </c>
      <c r="U37" s="71" t="e">
        <f>Table1435[[#This Row],[Total Cost Per Serving (O+P)/J]]*Table1435[[#This Row],[Estimated Servings Annual]]</f>
        <v>#DIV/0!</v>
      </c>
      <c r="V37" s="70">
        <f>(Table1435[[#This Row],[Commercial Bid Price per case for NOI ($)]]-Table1435[[#This Row],[Pass-Thru Value per case ($)]])+Table1435[[#This Row],[Region 2: Fixed Fee Per Case ($)]]</f>
        <v>0</v>
      </c>
      <c r="W37" s="77" t="e">
        <f>(Table1435[[#This Row],[Commercial Bid Price per case for NOI ($)]]+Table1435[[#This Row],[Region 2: Fixed Fee Per Case ($)]])/Table1435[[#This Row],['# of CN Servings per case]]</f>
        <v>#DIV/0!</v>
      </c>
      <c r="X37" s="72" t="e">
        <f>Table1435[[#This Row],[Total Cost Per Serving (O+Q)/J]]*Table1435[[#This Row],[Estimated Servings Annual]]</f>
        <v>#DIV/0!</v>
      </c>
    </row>
    <row r="38" spans="1:24" x14ac:dyDescent="0.35">
      <c r="A38" s="30" t="s">
        <v>49</v>
      </c>
      <c r="B38" s="44" t="s">
        <v>107</v>
      </c>
      <c r="C38" s="7" t="s">
        <v>13</v>
      </c>
      <c r="D38" s="7"/>
      <c r="E38" s="7"/>
      <c r="F38" s="7"/>
      <c r="G38" s="7"/>
      <c r="H38" s="7"/>
      <c r="I38" s="7"/>
      <c r="J38" s="7"/>
      <c r="K38" s="49">
        <v>150000</v>
      </c>
      <c r="L38" s="7"/>
      <c r="M38" s="7"/>
      <c r="N38" s="7"/>
      <c r="O38" s="7"/>
      <c r="P38" s="7"/>
      <c r="Q38" s="7"/>
      <c r="R38" s="7"/>
      <c r="S38" s="70">
        <f>(Table1435[[#This Row],[Commercial Bid Price per case for NOI ($)]]-Table1435[[#This Row],[Pass-Thru Value per case ($)]])+Table1435[[#This Row],[Region 1: Fixed Fee Per Case ($)]]</f>
        <v>0</v>
      </c>
      <c r="T38" s="77" t="e">
        <f>(Table1435[[#This Row],[Commercial Bid Price per case for NOI ($)]]+Table1435[[#This Row],[Region 1: Fixed Fee Per Case ($)]])/Table1435[[#This Row],['# of CN Servings per case]]</f>
        <v>#DIV/0!</v>
      </c>
      <c r="U38" s="71" t="e">
        <f>Table1435[[#This Row],[Total Cost Per Serving (O+P)/J]]*Table1435[[#This Row],[Estimated Servings Annual]]</f>
        <v>#DIV/0!</v>
      </c>
      <c r="V38" s="70">
        <f>(Table1435[[#This Row],[Commercial Bid Price per case for NOI ($)]]-Table1435[[#This Row],[Pass-Thru Value per case ($)]])+Table1435[[#This Row],[Region 2: Fixed Fee Per Case ($)]]</f>
        <v>0</v>
      </c>
      <c r="W38" s="77" t="e">
        <f>(Table1435[[#This Row],[Commercial Bid Price per case for NOI ($)]]+Table1435[[#This Row],[Region 2: Fixed Fee Per Case ($)]])/Table1435[[#This Row],['# of CN Servings per case]]</f>
        <v>#DIV/0!</v>
      </c>
      <c r="X38" s="72" t="e">
        <f>Table1435[[#This Row],[Total Cost Per Serving (O+Q)/J]]*Table1435[[#This Row],[Estimated Servings Annual]]</f>
        <v>#DIV/0!</v>
      </c>
    </row>
    <row r="39" spans="1:24" x14ac:dyDescent="0.35">
      <c r="A39" s="30" t="s">
        <v>49</v>
      </c>
      <c r="B39" s="44" t="s">
        <v>107</v>
      </c>
      <c r="C39" s="7" t="s">
        <v>13</v>
      </c>
      <c r="D39" s="7"/>
      <c r="E39" s="7"/>
      <c r="F39" s="7"/>
      <c r="G39" s="7"/>
      <c r="H39" s="7"/>
      <c r="I39" s="7"/>
      <c r="J39" s="7"/>
      <c r="K39" s="49">
        <v>150000</v>
      </c>
      <c r="L39" s="7"/>
      <c r="M39" s="7"/>
      <c r="N39" s="7"/>
      <c r="O39" s="7"/>
      <c r="P39" s="7"/>
      <c r="Q39" s="7"/>
      <c r="R39" s="7"/>
      <c r="S39" s="70">
        <f>(Table1435[[#This Row],[Commercial Bid Price per case for NOI ($)]]-Table1435[[#This Row],[Pass-Thru Value per case ($)]])+Table1435[[#This Row],[Region 1: Fixed Fee Per Case ($)]]</f>
        <v>0</v>
      </c>
      <c r="T39" s="77" t="e">
        <f>(Table1435[[#This Row],[Commercial Bid Price per case for NOI ($)]]+Table1435[[#This Row],[Region 1: Fixed Fee Per Case ($)]])/Table1435[[#This Row],['# of CN Servings per case]]</f>
        <v>#DIV/0!</v>
      </c>
      <c r="U39" s="71" t="e">
        <f>Table1435[[#This Row],[Total Cost Per Serving (O+P)/J]]*Table1435[[#This Row],[Estimated Servings Annual]]</f>
        <v>#DIV/0!</v>
      </c>
      <c r="V39" s="70">
        <f>(Table1435[[#This Row],[Commercial Bid Price per case for NOI ($)]]-Table1435[[#This Row],[Pass-Thru Value per case ($)]])+Table1435[[#This Row],[Region 2: Fixed Fee Per Case ($)]]</f>
        <v>0</v>
      </c>
      <c r="W39" s="77" t="e">
        <f>(Table1435[[#This Row],[Commercial Bid Price per case for NOI ($)]]+Table1435[[#This Row],[Region 2: Fixed Fee Per Case ($)]])/Table1435[[#This Row],['# of CN Servings per case]]</f>
        <v>#DIV/0!</v>
      </c>
      <c r="X39" s="72" t="e">
        <f>Table1435[[#This Row],[Total Cost Per Serving (O+Q)/J]]*Table1435[[#This Row],[Estimated Servings Annual]]</f>
        <v>#DIV/0!</v>
      </c>
    </row>
    <row r="40" spans="1:24" x14ac:dyDescent="0.35">
      <c r="A40" s="30" t="s">
        <v>49</v>
      </c>
      <c r="B40" s="44" t="s">
        <v>107</v>
      </c>
      <c r="C40" s="7" t="s">
        <v>13</v>
      </c>
      <c r="D40" s="7"/>
      <c r="E40" s="7"/>
      <c r="F40" s="7"/>
      <c r="G40" s="7"/>
      <c r="H40" s="7"/>
      <c r="I40" s="7"/>
      <c r="J40" s="7"/>
      <c r="K40" s="49">
        <v>150000</v>
      </c>
      <c r="L40" s="7"/>
      <c r="M40" s="7"/>
      <c r="N40" s="7"/>
      <c r="O40" s="7"/>
      <c r="P40" s="7"/>
      <c r="Q40" s="7"/>
      <c r="R40" s="7"/>
      <c r="S40" s="70">
        <f>(Table1435[[#This Row],[Commercial Bid Price per case for NOI ($)]]-Table1435[[#This Row],[Pass-Thru Value per case ($)]])+Table1435[[#This Row],[Region 1: Fixed Fee Per Case ($)]]</f>
        <v>0</v>
      </c>
      <c r="T40" s="77" t="e">
        <f>(Table1435[[#This Row],[Commercial Bid Price per case for NOI ($)]]+Table1435[[#This Row],[Region 1: Fixed Fee Per Case ($)]])/Table1435[[#This Row],['# of CN Servings per case]]</f>
        <v>#DIV/0!</v>
      </c>
      <c r="U40" s="71" t="e">
        <f>Table1435[[#This Row],[Total Cost Per Serving (O+P)/J]]*Table1435[[#This Row],[Estimated Servings Annual]]</f>
        <v>#DIV/0!</v>
      </c>
      <c r="V40" s="70">
        <f>(Table1435[[#This Row],[Commercial Bid Price per case for NOI ($)]]-Table1435[[#This Row],[Pass-Thru Value per case ($)]])+Table1435[[#This Row],[Region 2: Fixed Fee Per Case ($)]]</f>
        <v>0</v>
      </c>
      <c r="W40" s="77" t="e">
        <f>(Table1435[[#This Row],[Commercial Bid Price per case for NOI ($)]]+Table1435[[#This Row],[Region 2: Fixed Fee Per Case ($)]])/Table1435[[#This Row],['# of CN Servings per case]]</f>
        <v>#DIV/0!</v>
      </c>
      <c r="X40" s="72" t="e">
        <f>Table1435[[#This Row],[Total Cost Per Serving (O+Q)/J]]*Table1435[[#This Row],[Estimated Servings Annual]]</f>
        <v>#DIV/0!</v>
      </c>
    </row>
    <row r="41" spans="1:24" x14ac:dyDescent="0.35">
      <c r="A41" s="30" t="s">
        <v>49</v>
      </c>
      <c r="B41" s="44" t="s">
        <v>107</v>
      </c>
      <c r="C41" s="7" t="s">
        <v>13</v>
      </c>
      <c r="D41" s="7"/>
      <c r="E41" s="7"/>
      <c r="F41" s="7"/>
      <c r="G41" s="7"/>
      <c r="H41" s="7"/>
      <c r="I41" s="7"/>
      <c r="J41" s="7"/>
      <c r="K41" s="49">
        <v>150000</v>
      </c>
      <c r="L41" s="7"/>
      <c r="M41" s="7"/>
      <c r="N41" s="7"/>
      <c r="O41" s="7"/>
      <c r="P41" s="7"/>
      <c r="Q41" s="7"/>
      <c r="R41" s="7"/>
      <c r="S41" s="70">
        <f>(Table1435[[#This Row],[Commercial Bid Price per case for NOI ($)]]-Table1435[[#This Row],[Pass-Thru Value per case ($)]])+Table1435[[#This Row],[Region 1: Fixed Fee Per Case ($)]]</f>
        <v>0</v>
      </c>
      <c r="T41" s="77" t="e">
        <f>(Table1435[[#This Row],[Commercial Bid Price per case for NOI ($)]]+Table1435[[#This Row],[Region 1: Fixed Fee Per Case ($)]])/Table1435[[#This Row],['# of CN Servings per case]]</f>
        <v>#DIV/0!</v>
      </c>
      <c r="U41" s="71" t="e">
        <f>Table1435[[#This Row],[Total Cost Per Serving (O+P)/J]]*Table1435[[#This Row],[Estimated Servings Annual]]</f>
        <v>#DIV/0!</v>
      </c>
      <c r="V41" s="70">
        <f>(Table1435[[#This Row],[Commercial Bid Price per case for NOI ($)]]-Table1435[[#This Row],[Pass-Thru Value per case ($)]])+Table1435[[#This Row],[Region 2: Fixed Fee Per Case ($)]]</f>
        <v>0</v>
      </c>
      <c r="W41" s="77" t="e">
        <f>(Table1435[[#This Row],[Commercial Bid Price per case for NOI ($)]]+Table1435[[#This Row],[Region 2: Fixed Fee Per Case ($)]])/Table1435[[#This Row],['# of CN Servings per case]]</f>
        <v>#DIV/0!</v>
      </c>
      <c r="X41" s="72" t="e">
        <f>Table1435[[#This Row],[Total Cost Per Serving (O+Q)/J]]*Table1435[[#This Row],[Estimated Servings Annual]]</f>
        <v>#DIV/0!</v>
      </c>
    </row>
    <row r="42" spans="1:24" ht="15" thickBot="1" x14ac:dyDescent="0.4">
      <c r="A42" s="30" t="s">
        <v>49</v>
      </c>
      <c r="B42" s="44" t="s">
        <v>107</v>
      </c>
      <c r="C42" s="8" t="s">
        <v>13</v>
      </c>
      <c r="D42" s="8"/>
      <c r="E42" s="8"/>
      <c r="F42" s="8"/>
      <c r="G42" s="8"/>
      <c r="H42" s="8"/>
      <c r="I42" s="8"/>
      <c r="J42" s="8"/>
      <c r="K42" s="50">
        <v>150000</v>
      </c>
      <c r="L42" s="8"/>
      <c r="M42" s="8"/>
      <c r="N42" s="8"/>
      <c r="O42" s="8"/>
      <c r="P42" s="8"/>
      <c r="Q42" s="8"/>
      <c r="R42" s="8"/>
      <c r="S42" s="73">
        <f>(Table1435[[#This Row],[Commercial Bid Price per case for NOI ($)]]-Table1435[[#This Row],[Pass-Thru Value per case ($)]])+Table1435[[#This Row],[Region 1: Fixed Fee Per Case ($)]]</f>
        <v>0</v>
      </c>
      <c r="T42" s="78" t="e">
        <f>(Table1435[[#This Row],[Commercial Bid Price per case for NOI ($)]]+Table1435[[#This Row],[Region 1: Fixed Fee Per Case ($)]])/Table1435[[#This Row],['# of CN Servings per case]]</f>
        <v>#DIV/0!</v>
      </c>
      <c r="U42" s="74" t="e">
        <f>Table1435[[#This Row],[Total Cost Per Serving (O+P)/J]]*Table1435[[#This Row],[Estimated Servings Annual]]</f>
        <v>#DIV/0!</v>
      </c>
      <c r="V42" s="73">
        <f>(Table1435[[#This Row],[Commercial Bid Price per case for NOI ($)]]-Table1435[[#This Row],[Pass-Thru Value per case ($)]])+Table1435[[#This Row],[Region 2: Fixed Fee Per Case ($)]]</f>
        <v>0</v>
      </c>
      <c r="W42" s="78" t="e">
        <f>(Table1435[[#This Row],[Commercial Bid Price per case for NOI ($)]]+Table1435[[#This Row],[Region 2: Fixed Fee Per Case ($)]])/Table1435[[#This Row],['# of CN Servings per case]]</f>
        <v>#DIV/0!</v>
      </c>
      <c r="X42" s="75" t="e">
        <f>Table1435[[#This Row],[Total Cost Per Serving (O+Q)/J]]*Table1435[[#This Row],[Estimated Servings Annual]]</f>
        <v>#DIV/0!</v>
      </c>
    </row>
    <row r="43" spans="1:24" x14ac:dyDescent="0.35">
      <c r="A43" s="30" t="s">
        <v>49</v>
      </c>
      <c r="B43" s="42" t="s">
        <v>109</v>
      </c>
      <c r="C43" s="6" t="s">
        <v>108</v>
      </c>
      <c r="D43" s="6"/>
      <c r="E43" s="6"/>
      <c r="F43" s="6"/>
      <c r="G43" s="6"/>
      <c r="H43" s="6"/>
      <c r="I43" s="6"/>
      <c r="J43" s="6"/>
      <c r="K43" s="48">
        <v>80000</v>
      </c>
      <c r="L43" s="6"/>
      <c r="M43" s="6"/>
      <c r="N43" s="6"/>
      <c r="O43" s="6"/>
      <c r="P43" s="6"/>
      <c r="Q43" s="6"/>
      <c r="R43" s="6"/>
      <c r="S43" s="67">
        <f>(Table1435[[#This Row],[Commercial Bid Price per case for NOI ($)]]-Table1435[[#This Row],[Pass-Thru Value per case ($)]])+Table1435[[#This Row],[Region 1: Fixed Fee Per Case ($)]]</f>
        <v>0</v>
      </c>
      <c r="T43" s="76" t="e">
        <f>(Table1435[[#This Row],[Commercial Bid Price per case for NOI ($)]]+Table1435[[#This Row],[Region 1: Fixed Fee Per Case ($)]])/Table1435[[#This Row],['# of CN Servings per case]]</f>
        <v>#DIV/0!</v>
      </c>
      <c r="U43" s="68" t="e">
        <f>Table1435[[#This Row],[Total Cost Per Serving (O+P)/J]]*Table1435[[#This Row],[Estimated Servings Annual]]</f>
        <v>#DIV/0!</v>
      </c>
      <c r="V43" s="67">
        <f>(Table1435[[#This Row],[Commercial Bid Price per case for NOI ($)]]-Table1435[[#This Row],[Pass-Thru Value per case ($)]])+Table1435[[#This Row],[Region 2: Fixed Fee Per Case ($)]]</f>
        <v>0</v>
      </c>
      <c r="W43" s="76" t="e">
        <f>(Table1435[[#This Row],[Commercial Bid Price per case for NOI ($)]]+Table1435[[#This Row],[Region 2: Fixed Fee Per Case ($)]])/Table1435[[#This Row],['# of CN Servings per case]]</f>
        <v>#DIV/0!</v>
      </c>
      <c r="X43" s="69" t="e">
        <f>Table1435[[#This Row],[Total Cost Per Serving (O+Q)/J]]*Table1435[[#This Row],[Estimated Servings Annual]]</f>
        <v>#DIV/0!</v>
      </c>
    </row>
    <row r="44" spans="1:24" x14ac:dyDescent="0.35">
      <c r="A44" s="30" t="s">
        <v>49</v>
      </c>
      <c r="B44" s="28" t="s">
        <v>109</v>
      </c>
      <c r="C44" s="7" t="s">
        <v>108</v>
      </c>
      <c r="D44" s="7"/>
      <c r="E44" s="7"/>
      <c r="F44" s="7"/>
      <c r="G44" s="7"/>
      <c r="H44" s="7"/>
      <c r="I44" s="7"/>
      <c r="J44" s="7"/>
      <c r="K44" s="49">
        <v>80000</v>
      </c>
      <c r="L44" s="7"/>
      <c r="M44" s="7"/>
      <c r="N44" s="7"/>
      <c r="O44" s="7"/>
      <c r="P44" s="7"/>
      <c r="Q44" s="7"/>
      <c r="R44" s="7"/>
      <c r="S44" s="70">
        <f>(Table1435[[#This Row],[Commercial Bid Price per case for NOI ($)]]-Table1435[[#This Row],[Pass-Thru Value per case ($)]])+Table1435[[#This Row],[Region 1: Fixed Fee Per Case ($)]]</f>
        <v>0</v>
      </c>
      <c r="T44" s="77" t="e">
        <f>(Table1435[[#This Row],[Commercial Bid Price per case for NOI ($)]]+Table1435[[#This Row],[Region 1: Fixed Fee Per Case ($)]])/Table1435[[#This Row],['# of CN Servings per case]]</f>
        <v>#DIV/0!</v>
      </c>
      <c r="U44" s="71" t="e">
        <f>Table1435[[#This Row],[Total Cost Per Serving (O+P)/J]]*Table1435[[#This Row],[Estimated Servings Annual]]</f>
        <v>#DIV/0!</v>
      </c>
      <c r="V44" s="70">
        <f>(Table1435[[#This Row],[Commercial Bid Price per case for NOI ($)]]-Table1435[[#This Row],[Pass-Thru Value per case ($)]])+Table1435[[#This Row],[Region 2: Fixed Fee Per Case ($)]]</f>
        <v>0</v>
      </c>
      <c r="W44" s="77" t="e">
        <f>(Table1435[[#This Row],[Commercial Bid Price per case for NOI ($)]]+Table1435[[#This Row],[Region 2: Fixed Fee Per Case ($)]])/Table1435[[#This Row],['# of CN Servings per case]]</f>
        <v>#DIV/0!</v>
      </c>
      <c r="X44" s="72" t="e">
        <f>Table1435[[#This Row],[Total Cost Per Serving (O+Q)/J]]*Table1435[[#This Row],[Estimated Servings Annual]]</f>
        <v>#DIV/0!</v>
      </c>
    </row>
    <row r="45" spans="1:24" x14ac:dyDescent="0.35">
      <c r="A45" s="30" t="s">
        <v>49</v>
      </c>
      <c r="B45" s="28" t="s">
        <v>109</v>
      </c>
      <c r="C45" s="7" t="s">
        <v>13</v>
      </c>
      <c r="D45" s="7"/>
      <c r="E45" s="7"/>
      <c r="F45" s="7"/>
      <c r="G45" s="7"/>
      <c r="H45" s="7"/>
      <c r="I45" s="7"/>
      <c r="J45" s="7"/>
      <c r="K45" s="49">
        <v>80000</v>
      </c>
      <c r="L45" s="7"/>
      <c r="M45" s="7"/>
      <c r="N45" s="7"/>
      <c r="O45" s="7"/>
      <c r="P45" s="7"/>
      <c r="Q45" s="7"/>
      <c r="R45" s="7"/>
      <c r="S45" s="70">
        <f>(Table1435[[#This Row],[Commercial Bid Price per case for NOI ($)]]-Table1435[[#This Row],[Pass-Thru Value per case ($)]])+Table1435[[#This Row],[Region 1: Fixed Fee Per Case ($)]]</f>
        <v>0</v>
      </c>
      <c r="T45" s="77" t="e">
        <f>(Table1435[[#This Row],[Commercial Bid Price per case for NOI ($)]]+Table1435[[#This Row],[Region 1: Fixed Fee Per Case ($)]])/Table1435[[#This Row],['# of CN Servings per case]]</f>
        <v>#DIV/0!</v>
      </c>
      <c r="U45" s="71" t="e">
        <f>Table1435[[#This Row],[Total Cost Per Serving (O+P)/J]]*Table1435[[#This Row],[Estimated Servings Annual]]</f>
        <v>#DIV/0!</v>
      </c>
      <c r="V45" s="70">
        <f>(Table1435[[#This Row],[Commercial Bid Price per case for NOI ($)]]-Table1435[[#This Row],[Pass-Thru Value per case ($)]])+Table1435[[#This Row],[Region 2: Fixed Fee Per Case ($)]]</f>
        <v>0</v>
      </c>
      <c r="W45" s="77" t="e">
        <f>(Table1435[[#This Row],[Commercial Bid Price per case for NOI ($)]]+Table1435[[#This Row],[Region 2: Fixed Fee Per Case ($)]])/Table1435[[#This Row],['# of CN Servings per case]]</f>
        <v>#DIV/0!</v>
      </c>
      <c r="X45" s="72" t="e">
        <f>Table1435[[#This Row],[Total Cost Per Serving (O+Q)/J]]*Table1435[[#This Row],[Estimated Servings Annual]]</f>
        <v>#DIV/0!</v>
      </c>
    </row>
    <row r="46" spans="1:24" x14ac:dyDescent="0.35">
      <c r="A46" s="30" t="s">
        <v>49</v>
      </c>
      <c r="B46" s="28" t="s">
        <v>109</v>
      </c>
      <c r="C46" s="7" t="s">
        <v>13</v>
      </c>
      <c r="D46" s="7"/>
      <c r="E46" s="7"/>
      <c r="F46" s="7"/>
      <c r="G46" s="7"/>
      <c r="H46" s="7"/>
      <c r="I46" s="7"/>
      <c r="J46" s="7"/>
      <c r="K46" s="49">
        <v>80000</v>
      </c>
      <c r="L46" s="7"/>
      <c r="M46" s="7"/>
      <c r="N46" s="7"/>
      <c r="O46" s="7"/>
      <c r="P46" s="7"/>
      <c r="Q46" s="7"/>
      <c r="R46" s="7"/>
      <c r="S46" s="70">
        <f>(Table1435[[#This Row],[Commercial Bid Price per case for NOI ($)]]-Table1435[[#This Row],[Pass-Thru Value per case ($)]])+Table1435[[#This Row],[Region 1: Fixed Fee Per Case ($)]]</f>
        <v>0</v>
      </c>
      <c r="T46" s="77" t="e">
        <f>(Table1435[[#This Row],[Commercial Bid Price per case for NOI ($)]]+Table1435[[#This Row],[Region 1: Fixed Fee Per Case ($)]])/Table1435[[#This Row],['# of CN Servings per case]]</f>
        <v>#DIV/0!</v>
      </c>
      <c r="U46" s="71" t="e">
        <f>Table1435[[#This Row],[Total Cost Per Serving (O+P)/J]]*Table1435[[#This Row],[Estimated Servings Annual]]</f>
        <v>#DIV/0!</v>
      </c>
      <c r="V46" s="70">
        <f>(Table1435[[#This Row],[Commercial Bid Price per case for NOI ($)]]-Table1435[[#This Row],[Pass-Thru Value per case ($)]])+Table1435[[#This Row],[Region 2: Fixed Fee Per Case ($)]]</f>
        <v>0</v>
      </c>
      <c r="W46" s="77" t="e">
        <f>(Table1435[[#This Row],[Commercial Bid Price per case for NOI ($)]]+Table1435[[#This Row],[Region 2: Fixed Fee Per Case ($)]])/Table1435[[#This Row],['# of CN Servings per case]]</f>
        <v>#DIV/0!</v>
      </c>
      <c r="X46" s="72" t="e">
        <f>Table1435[[#This Row],[Total Cost Per Serving (O+Q)/J]]*Table1435[[#This Row],[Estimated Servings Annual]]</f>
        <v>#DIV/0!</v>
      </c>
    </row>
    <row r="47" spans="1:24" x14ac:dyDescent="0.35">
      <c r="A47" s="30" t="s">
        <v>49</v>
      </c>
      <c r="B47" s="28" t="s">
        <v>109</v>
      </c>
      <c r="C47" s="7" t="s">
        <v>13</v>
      </c>
      <c r="D47" s="7"/>
      <c r="E47" s="7"/>
      <c r="F47" s="7"/>
      <c r="G47" s="7"/>
      <c r="H47" s="7"/>
      <c r="I47" s="7"/>
      <c r="J47" s="7"/>
      <c r="K47" s="49">
        <v>80000</v>
      </c>
      <c r="L47" s="7"/>
      <c r="M47" s="7"/>
      <c r="N47" s="7"/>
      <c r="O47" s="7"/>
      <c r="P47" s="7"/>
      <c r="Q47" s="7"/>
      <c r="R47" s="7"/>
      <c r="S47" s="70">
        <f>(Table1435[[#This Row],[Commercial Bid Price per case for NOI ($)]]-Table1435[[#This Row],[Pass-Thru Value per case ($)]])+Table1435[[#This Row],[Region 1: Fixed Fee Per Case ($)]]</f>
        <v>0</v>
      </c>
      <c r="T47" s="77" t="e">
        <f>(Table1435[[#This Row],[Commercial Bid Price per case for NOI ($)]]+Table1435[[#This Row],[Region 1: Fixed Fee Per Case ($)]])/Table1435[[#This Row],['# of CN Servings per case]]</f>
        <v>#DIV/0!</v>
      </c>
      <c r="U47" s="71" t="e">
        <f>Table1435[[#This Row],[Total Cost Per Serving (O+P)/J]]*Table1435[[#This Row],[Estimated Servings Annual]]</f>
        <v>#DIV/0!</v>
      </c>
      <c r="V47" s="70">
        <f>(Table1435[[#This Row],[Commercial Bid Price per case for NOI ($)]]-Table1435[[#This Row],[Pass-Thru Value per case ($)]])+Table1435[[#This Row],[Region 2: Fixed Fee Per Case ($)]]</f>
        <v>0</v>
      </c>
      <c r="W47" s="77" t="e">
        <f>(Table1435[[#This Row],[Commercial Bid Price per case for NOI ($)]]+Table1435[[#This Row],[Region 2: Fixed Fee Per Case ($)]])/Table1435[[#This Row],['# of CN Servings per case]]</f>
        <v>#DIV/0!</v>
      </c>
      <c r="X47" s="72" t="e">
        <f>Table1435[[#This Row],[Total Cost Per Serving (O+Q)/J]]*Table1435[[#This Row],[Estimated Servings Annual]]</f>
        <v>#DIV/0!</v>
      </c>
    </row>
    <row r="48" spans="1:24" x14ac:dyDescent="0.35">
      <c r="A48" s="30" t="s">
        <v>49</v>
      </c>
      <c r="B48" s="28" t="s">
        <v>109</v>
      </c>
      <c r="C48" s="7" t="s">
        <v>13</v>
      </c>
      <c r="D48" s="7"/>
      <c r="E48" s="7"/>
      <c r="F48" s="7"/>
      <c r="G48" s="7"/>
      <c r="H48" s="7"/>
      <c r="I48" s="7"/>
      <c r="J48" s="7"/>
      <c r="K48" s="49">
        <v>80000</v>
      </c>
      <c r="L48" s="7"/>
      <c r="M48" s="7"/>
      <c r="N48" s="7"/>
      <c r="O48" s="7"/>
      <c r="P48" s="7"/>
      <c r="Q48" s="7"/>
      <c r="R48" s="7"/>
      <c r="S48" s="70">
        <f>(Table1435[[#This Row],[Commercial Bid Price per case for NOI ($)]]-Table1435[[#This Row],[Pass-Thru Value per case ($)]])+Table1435[[#This Row],[Region 1: Fixed Fee Per Case ($)]]</f>
        <v>0</v>
      </c>
      <c r="T48" s="77" t="e">
        <f>(Table1435[[#This Row],[Commercial Bid Price per case for NOI ($)]]+Table1435[[#This Row],[Region 1: Fixed Fee Per Case ($)]])/Table1435[[#This Row],['# of CN Servings per case]]</f>
        <v>#DIV/0!</v>
      </c>
      <c r="U48" s="71" t="e">
        <f>Table1435[[#This Row],[Total Cost Per Serving (O+P)/J]]*Table1435[[#This Row],[Estimated Servings Annual]]</f>
        <v>#DIV/0!</v>
      </c>
      <c r="V48" s="70">
        <f>(Table1435[[#This Row],[Commercial Bid Price per case for NOI ($)]]-Table1435[[#This Row],[Pass-Thru Value per case ($)]])+Table1435[[#This Row],[Region 2: Fixed Fee Per Case ($)]]</f>
        <v>0</v>
      </c>
      <c r="W48" s="77" t="e">
        <f>(Table1435[[#This Row],[Commercial Bid Price per case for NOI ($)]]+Table1435[[#This Row],[Region 2: Fixed Fee Per Case ($)]])/Table1435[[#This Row],['# of CN Servings per case]]</f>
        <v>#DIV/0!</v>
      </c>
      <c r="X48" s="72" t="e">
        <f>Table1435[[#This Row],[Total Cost Per Serving (O+Q)/J]]*Table1435[[#This Row],[Estimated Servings Annual]]</f>
        <v>#DIV/0!</v>
      </c>
    </row>
    <row r="49" spans="1:24" x14ac:dyDescent="0.35">
      <c r="A49" s="30" t="s">
        <v>49</v>
      </c>
      <c r="B49" s="28" t="s">
        <v>109</v>
      </c>
      <c r="C49" s="7" t="s">
        <v>13</v>
      </c>
      <c r="D49" s="7"/>
      <c r="E49" s="7"/>
      <c r="F49" s="7"/>
      <c r="G49" s="7"/>
      <c r="H49" s="7"/>
      <c r="I49" s="7"/>
      <c r="J49" s="7"/>
      <c r="K49" s="49">
        <v>80000</v>
      </c>
      <c r="L49" s="7"/>
      <c r="M49" s="7"/>
      <c r="N49" s="7"/>
      <c r="O49" s="7"/>
      <c r="P49" s="7"/>
      <c r="Q49" s="7"/>
      <c r="R49" s="7"/>
      <c r="S49" s="70">
        <f>(Table1435[[#This Row],[Commercial Bid Price per case for NOI ($)]]-Table1435[[#This Row],[Pass-Thru Value per case ($)]])+Table1435[[#This Row],[Region 1: Fixed Fee Per Case ($)]]</f>
        <v>0</v>
      </c>
      <c r="T49" s="77" t="e">
        <f>(Table1435[[#This Row],[Commercial Bid Price per case for NOI ($)]]+Table1435[[#This Row],[Region 1: Fixed Fee Per Case ($)]])/Table1435[[#This Row],['# of CN Servings per case]]</f>
        <v>#DIV/0!</v>
      </c>
      <c r="U49" s="71" t="e">
        <f>Table1435[[#This Row],[Total Cost Per Serving (O+P)/J]]*Table1435[[#This Row],[Estimated Servings Annual]]</f>
        <v>#DIV/0!</v>
      </c>
      <c r="V49" s="70">
        <f>(Table1435[[#This Row],[Commercial Bid Price per case for NOI ($)]]-Table1435[[#This Row],[Pass-Thru Value per case ($)]])+Table1435[[#This Row],[Region 2: Fixed Fee Per Case ($)]]</f>
        <v>0</v>
      </c>
      <c r="W49" s="77" t="e">
        <f>(Table1435[[#This Row],[Commercial Bid Price per case for NOI ($)]]+Table1435[[#This Row],[Region 2: Fixed Fee Per Case ($)]])/Table1435[[#This Row],['# of CN Servings per case]]</f>
        <v>#DIV/0!</v>
      </c>
      <c r="X49" s="72" t="e">
        <f>Table1435[[#This Row],[Total Cost Per Serving (O+Q)/J]]*Table1435[[#This Row],[Estimated Servings Annual]]</f>
        <v>#DIV/0!</v>
      </c>
    </row>
    <row r="50" spans="1:24" ht="15" thickBot="1" x14ac:dyDescent="0.4">
      <c r="A50" s="30" t="s">
        <v>49</v>
      </c>
      <c r="B50" s="28" t="s">
        <v>109</v>
      </c>
      <c r="C50" s="8" t="s">
        <v>13</v>
      </c>
      <c r="D50" s="8"/>
      <c r="E50" s="8"/>
      <c r="F50" s="8"/>
      <c r="G50" s="8"/>
      <c r="H50" s="8"/>
      <c r="I50" s="8"/>
      <c r="J50" s="8"/>
      <c r="K50" s="50">
        <v>80000</v>
      </c>
      <c r="L50" s="8"/>
      <c r="M50" s="8"/>
      <c r="N50" s="8"/>
      <c r="O50" s="8"/>
      <c r="P50" s="8"/>
      <c r="Q50" s="8"/>
      <c r="R50" s="8"/>
      <c r="S50" s="73">
        <f>(Table1435[[#This Row],[Commercial Bid Price per case for NOI ($)]]-Table1435[[#This Row],[Pass-Thru Value per case ($)]])+Table1435[[#This Row],[Region 1: Fixed Fee Per Case ($)]]</f>
        <v>0</v>
      </c>
      <c r="T50" s="78" t="e">
        <f>(Table1435[[#This Row],[Commercial Bid Price per case for NOI ($)]]+Table1435[[#This Row],[Region 1: Fixed Fee Per Case ($)]])/Table1435[[#This Row],['# of CN Servings per case]]</f>
        <v>#DIV/0!</v>
      </c>
      <c r="U50" s="74" t="e">
        <f>Table1435[[#This Row],[Total Cost Per Serving (O+P)/J]]*Table1435[[#This Row],[Estimated Servings Annual]]</f>
        <v>#DIV/0!</v>
      </c>
      <c r="V50" s="73">
        <f>(Table1435[[#This Row],[Commercial Bid Price per case for NOI ($)]]-Table1435[[#This Row],[Pass-Thru Value per case ($)]])+Table1435[[#This Row],[Region 2: Fixed Fee Per Case ($)]]</f>
        <v>0</v>
      </c>
      <c r="W50" s="78" t="e">
        <f>(Table1435[[#This Row],[Commercial Bid Price per case for NOI ($)]]+Table1435[[#This Row],[Region 2: Fixed Fee Per Case ($)]])/Table1435[[#This Row],['# of CN Servings per case]]</f>
        <v>#DIV/0!</v>
      </c>
      <c r="X50" s="75" t="e">
        <f>Table1435[[#This Row],[Total Cost Per Serving (O+Q)/J]]*Table1435[[#This Row],[Estimated Servings Annual]]</f>
        <v>#DIV/0!</v>
      </c>
    </row>
    <row r="51" spans="1:24" x14ac:dyDescent="0.35">
      <c r="A51" s="30" t="s">
        <v>49</v>
      </c>
      <c r="B51" s="42" t="s">
        <v>110</v>
      </c>
      <c r="C51" s="6" t="s">
        <v>108</v>
      </c>
      <c r="D51" s="6"/>
      <c r="E51" s="6"/>
      <c r="F51" s="6"/>
      <c r="G51" s="6"/>
      <c r="H51" s="6"/>
      <c r="I51" s="6"/>
      <c r="J51" s="6"/>
      <c r="K51" s="48">
        <v>80000</v>
      </c>
      <c r="L51" s="6"/>
      <c r="M51" s="6"/>
      <c r="N51" s="6"/>
      <c r="O51" s="6"/>
      <c r="P51" s="6"/>
      <c r="Q51" s="6"/>
      <c r="R51" s="6"/>
      <c r="S51" s="67">
        <f>(Table1435[[#This Row],[Commercial Bid Price per case for NOI ($)]]-Table1435[[#This Row],[Pass-Thru Value per case ($)]])+Table1435[[#This Row],[Region 1: Fixed Fee Per Case ($)]]</f>
        <v>0</v>
      </c>
      <c r="T51" s="76" t="e">
        <f>(Table1435[[#This Row],[Commercial Bid Price per case for NOI ($)]]+Table1435[[#This Row],[Region 1: Fixed Fee Per Case ($)]])/Table1435[[#This Row],['# of CN Servings per case]]</f>
        <v>#DIV/0!</v>
      </c>
      <c r="U51" s="68" t="e">
        <f>Table1435[[#This Row],[Total Cost Per Serving (O+P)/J]]*Table1435[[#This Row],[Estimated Servings Annual]]</f>
        <v>#DIV/0!</v>
      </c>
      <c r="V51" s="67">
        <f>(Table1435[[#This Row],[Commercial Bid Price per case for NOI ($)]]-Table1435[[#This Row],[Pass-Thru Value per case ($)]])+Table1435[[#This Row],[Region 2: Fixed Fee Per Case ($)]]</f>
        <v>0</v>
      </c>
      <c r="W51" s="76" t="e">
        <f>(Table1435[[#This Row],[Commercial Bid Price per case for NOI ($)]]+Table1435[[#This Row],[Region 2: Fixed Fee Per Case ($)]])/Table1435[[#This Row],['# of CN Servings per case]]</f>
        <v>#DIV/0!</v>
      </c>
      <c r="X51" s="69" t="e">
        <f>Table1435[[#This Row],[Total Cost Per Serving (O+Q)/J]]*Table1435[[#This Row],[Estimated Servings Annual]]</f>
        <v>#DIV/0!</v>
      </c>
    </row>
    <row r="52" spans="1:24" x14ac:dyDescent="0.35">
      <c r="A52" s="30" t="s">
        <v>49</v>
      </c>
      <c r="B52" s="28" t="s">
        <v>110</v>
      </c>
      <c r="C52" s="7" t="s">
        <v>108</v>
      </c>
      <c r="D52" s="7"/>
      <c r="E52" s="7"/>
      <c r="F52" s="7"/>
      <c r="G52" s="7"/>
      <c r="H52" s="7"/>
      <c r="I52" s="7"/>
      <c r="J52" s="7"/>
      <c r="K52" s="49">
        <v>80000</v>
      </c>
      <c r="L52" s="7"/>
      <c r="M52" s="7"/>
      <c r="N52" s="7"/>
      <c r="O52" s="7"/>
      <c r="P52" s="7"/>
      <c r="Q52" s="7"/>
      <c r="R52" s="7"/>
      <c r="S52" s="70">
        <f>(Table1435[[#This Row],[Commercial Bid Price per case for NOI ($)]]-Table1435[[#This Row],[Pass-Thru Value per case ($)]])+Table1435[[#This Row],[Region 1: Fixed Fee Per Case ($)]]</f>
        <v>0</v>
      </c>
      <c r="T52" s="77" t="e">
        <f>(Table1435[[#This Row],[Commercial Bid Price per case for NOI ($)]]+Table1435[[#This Row],[Region 1: Fixed Fee Per Case ($)]])/Table1435[[#This Row],['# of CN Servings per case]]</f>
        <v>#DIV/0!</v>
      </c>
      <c r="U52" s="71" t="e">
        <f>Table1435[[#This Row],[Total Cost Per Serving (O+P)/J]]*Table1435[[#This Row],[Estimated Servings Annual]]</f>
        <v>#DIV/0!</v>
      </c>
      <c r="V52" s="70">
        <f>(Table1435[[#This Row],[Commercial Bid Price per case for NOI ($)]]-Table1435[[#This Row],[Pass-Thru Value per case ($)]])+Table1435[[#This Row],[Region 2: Fixed Fee Per Case ($)]]</f>
        <v>0</v>
      </c>
      <c r="W52" s="77" t="e">
        <f>(Table1435[[#This Row],[Commercial Bid Price per case for NOI ($)]]+Table1435[[#This Row],[Region 2: Fixed Fee Per Case ($)]])/Table1435[[#This Row],['# of CN Servings per case]]</f>
        <v>#DIV/0!</v>
      </c>
      <c r="X52" s="72" t="e">
        <f>Table1435[[#This Row],[Total Cost Per Serving (O+Q)/J]]*Table1435[[#This Row],[Estimated Servings Annual]]</f>
        <v>#DIV/0!</v>
      </c>
    </row>
    <row r="53" spans="1:24" x14ac:dyDescent="0.35">
      <c r="A53" s="30" t="s">
        <v>49</v>
      </c>
      <c r="B53" s="28" t="s">
        <v>110</v>
      </c>
      <c r="C53" s="7" t="s">
        <v>13</v>
      </c>
      <c r="D53" s="7"/>
      <c r="E53" s="7"/>
      <c r="F53" s="7"/>
      <c r="G53" s="7"/>
      <c r="H53" s="7"/>
      <c r="I53" s="7"/>
      <c r="J53" s="7"/>
      <c r="K53" s="49">
        <v>80000</v>
      </c>
      <c r="L53" s="7"/>
      <c r="M53" s="7"/>
      <c r="N53" s="7"/>
      <c r="O53" s="7"/>
      <c r="P53" s="7"/>
      <c r="Q53" s="7"/>
      <c r="R53" s="7"/>
      <c r="S53" s="70">
        <f>(Table1435[[#This Row],[Commercial Bid Price per case for NOI ($)]]-Table1435[[#This Row],[Pass-Thru Value per case ($)]])+Table1435[[#This Row],[Region 1: Fixed Fee Per Case ($)]]</f>
        <v>0</v>
      </c>
      <c r="T53" s="77" t="e">
        <f>(Table1435[[#This Row],[Commercial Bid Price per case for NOI ($)]]+Table1435[[#This Row],[Region 1: Fixed Fee Per Case ($)]])/Table1435[[#This Row],['# of CN Servings per case]]</f>
        <v>#DIV/0!</v>
      </c>
      <c r="U53" s="71" t="e">
        <f>Table1435[[#This Row],[Total Cost Per Serving (O+P)/J]]*Table1435[[#This Row],[Estimated Servings Annual]]</f>
        <v>#DIV/0!</v>
      </c>
      <c r="V53" s="70">
        <f>(Table1435[[#This Row],[Commercial Bid Price per case for NOI ($)]]-Table1435[[#This Row],[Pass-Thru Value per case ($)]])+Table1435[[#This Row],[Region 2: Fixed Fee Per Case ($)]]</f>
        <v>0</v>
      </c>
      <c r="W53" s="77" t="e">
        <f>(Table1435[[#This Row],[Commercial Bid Price per case for NOI ($)]]+Table1435[[#This Row],[Region 2: Fixed Fee Per Case ($)]])/Table1435[[#This Row],['# of CN Servings per case]]</f>
        <v>#DIV/0!</v>
      </c>
      <c r="X53" s="72" t="e">
        <f>Table1435[[#This Row],[Total Cost Per Serving (O+Q)/J]]*Table1435[[#This Row],[Estimated Servings Annual]]</f>
        <v>#DIV/0!</v>
      </c>
    </row>
    <row r="54" spans="1:24" x14ac:dyDescent="0.35">
      <c r="A54" s="30" t="s">
        <v>49</v>
      </c>
      <c r="B54" s="28" t="s">
        <v>110</v>
      </c>
      <c r="C54" s="7" t="s">
        <v>13</v>
      </c>
      <c r="D54" s="7"/>
      <c r="E54" s="7"/>
      <c r="F54" s="7"/>
      <c r="G54" s="7"/>
      <c r="H54" s="7"/>
      <c r="I54" s="7"/>
      <c r="J54" s="7"/>
      <c r="K54" s="49">
        <v>80000</v>
      </c>
      <c r="L54" s="7"/>
      <c r="M54" s="7"/>
      <c r="N54" s="7"/>
      <c r="O54" s="7"/>
      <c r="P54" s="7"/>
      <c r="Q54" s="7"/>
      <c r="R54" s="7"/>
      <c r="S54" s="70">
        <f>(Table1435[[#This Row],[Commercial Bid Price per case for NOI ($)]]-Table1435[[#This Row],[Pass-Thru Value per case ($)]])+Table1435[[#This Row],[Region 1: Fixed Fee Per Case ($)]]</f>
        <v>0</v>
      </c>
      <c r="T54" s="77" t="e">
        <f>(Table1435[[#This Row],[Commercial Bid Price per case for NOI ($)]]+Table1435[[#This Row],[Region 1: Fixed Fee Per Case ($)]])/Table1435[[#This Row],['# of CN Servings per case]]</f>
        <v>#DIV/0!</v>
      </c>
      <c r="U54" s="71" t="e">
        <f>Table1435[[#This Row],[Total Cost Per Serving (O+P)/J]]*Table1435[[#This Row],[Estimated Servings Annual]]</f>
        <v>#DIV/0!</v>
      </c>
      <c r="V54" s="70">
        <f>(Table1435[[#This Row],[Commercial Bid Price per case for NOI ($)]]-Table1435[[#This Row],[Pass-Thru Value per case ($)]])+Table1435[[#This Row],[Region 2: Fixed Fee Per Case ($)]]</f>
        <v>0</v>
      </c>
      <c r="W54" s="77" t="e">
        <f>(Table1435[[#This Row],[Commercial Bid Price per case for NOI ($)]]+Table1435[[#This Row],[Region 2: Fixed Fee Per Case ($)]])/Table1435[[#This Row],['# of CN Servings per case]]</f>
        <v>#DIV/0!</v>
      </c>
      <c r="X54" s="72" t="e">
        <f>Table1435[[#This Row],[Total Cost Per Serving (O+Q)/J]]*Table1435[[#This Row],[Estimated Servings Annual]]</f>
        <v>#DIV/0!</v>
      </c>
    </row>
    <row r="55" spans="1:24" x14ac:dyDescent="0.35">
      <c r="A55" s="30" t="s">
        <v>49</v>
      </c>
      <c r="B55" s="28" t="s">
        <v>110</v>
      </c>
      <c r="C55" s="7" t="s">
        <v>13</v>
      </c>
      <c r="D55" s="7"/>
      <c r="E55" s="7"/>
      <c r="F55" s="7"/>
      <c r="G55" s="7"/>
      <c r="H55" s="7"/>
      <c r="I55" s="7"/>
      <c r="J55" s="7"/>
      <c r="K55" s="49">
        <v>80000</v>
      </c>
      <c r="L55" s="7"/>
      <c r="M55" s="7"/>
      <c r="N55" s="7"/>
      <c r="O55" s="7"/>
      <c r="P55" s="7"/>
      <c r="Q55" s="7"/>
      <c r="R55" s="7"/>
      <c r="S55" s="70">
        <f>(Table1435[[#This Row],[Commercial Bid Price per case for NOI ($)]]-Table1435[[#This Row],[Pass-Thru Value per case ($)]])+Table1435[[#This Row],[Region 1: Fixed Fee Per Case ($)]]</f>
        <v>0</v>
      </c>
      <c r="T55" s="77" t="e">
        <f>(Table1435[[#This Row],[Commercial Bid Price per case for NOI ($)]]+Table1435[[#This Row],[Region 1: Fixed Fee Per Case ($)]])/Table1435[[#This Row],['# of CN Servings per case]]</f>
        <v>#DIV/0!</v>
      </c>
      <c r="U55" s="71" t="e">
        <f>Table1435[[#This Row],[Total Cost Per Serving (O+P)/J]]*Table1435[[#This Row],[Estimated Servings Annual]]</f>
        <v>#DIV/0!</v>
      </c>
      <c r="V55" s="70">
        <f>(Table1435[[#This Row],[Commercial Bid Price per case for NOI ($)]]-Table1435[[#This Row],[Pass-Thru Value per case ($)]])+Table1435[[#This Row],[Region 2: Fixed Fee Per Case ($)]]</f>
        <v>0</v>
      </c>
      <c r="W55" s="77" t="e">
        <f>(Table1435[[#This Row],[Commercial Bid Price per case for NOI ($)]]+Table1435[[#This Row],[Region 2: Fixed Fee Per Case ($)]])/Table1435[[#This Row],['# of CN Servings per case]]</f>
        <v>#DIV/0!</v>
      </c>
      <c r="X55" s="72" t="e">
        <f>Table1435[[#This Row],[Total Cost Per Serving (O+Q)/J]]*Table1435[[#This Row],[Estimated Servings Annual]]</f>
        <v>#DIV/0!</v>
      </c>
    </row>
    <row r="56" spans="1:24" x14ac:dyDescent="0.35">
      <c r="A56" s="30" t="s">
        <v>49</v>
      </c>
      <c r="B56" s="28" t="s">
        <v>110</v>
      </c>
      <c r="C56" s="7" t="s">
        <v>13</v>
      </c>
      <c r="D56" s="7"/>
      <c r="E56" s="7"/>
      <c r="F56" s="7"/>
      <c r="G56" s="7"/>
      <c r="H56" s="7"/>
      <c r="I56" s="7"/>
      <c r="J56" s="7"/>
      <c r="K56" s="49">
        <v>80000</v>
      </c>
      <c r="L56" s="7"/>
      <c r="M56" s="7"/>
      <c r="N56" s="7"/>
      <c r="O56" s="7"/>
      <c r="P56" s="7"/>
      <c r="Q56" s="7"/>
      <c r="R56" s="7"/>
      <c r="S56" s="70">
        <f>(Table1435[[#This Row],[Commercial Bid Price per case for NOI ($)]]-Table1435[[#This Row],[Pass-Thru Value per case ($)]])+Table1435[[#This Row],[Region 1: Fixed Fee Per Case ($)]]</f>
        <v>0</v>
      </c>
      <c r="T56" s="77" t="e">
        <f>(Table1435[[#This Row],[Commercial Bid Price per case for NOI ($)]]+Table1435[[#This Row],[Region 1: Fixed Fee Per Case ($)]])/Table1435[[#This Row],['# of CN Servings per case]]</f>
        <v>#DIV/0!</v>
      </c>
      <c r="U56" s="71" t="e">
        <f>Table1435[[#This Row],[Total Cost Per Serving (O+P)/J]]*Table1435[[#This Row],[Estimated Servings Annual]]</f>
        <v>#DIV/0!</v>
      </c>
      <c r="V56" s="70">
        <f>(Table1435[[#This Row],[Commercial Bid Price per case for NOI ($)]]-Table1435[[#This Row],[Pass-Thru Value per case ($)]])+Table1435[[#This Row],[Region 2: Fixed Fee Per Case ($)]]</f>
        <v>0</v>
      </c>
      <c r="W56" s="77" t="e">
        <f>(Table1435[[#This Row],[Commercial Bid Price per case for NOI ($)]]+Table1435[[#This Row],[Region 2: Fixed Fee Per Case ($)]])/Table1435[[#This Row],['# of CN Servings per case]]</f>
        <v>#DIV/0!</v>
      </c>
      <c r="X56" s="72" t="e">
        <f>Table1435[[#This Row],[Total Cost Per Serving (O+Q)/J]]*Table1435[[#This Row],[Estimated Servings Annual]]</f>
        <v>#DIV/0!</v>
      </c>
    </row>
    <row r="57" spans="1:24" x14ac:dyDescent="0.35">
      <c r="A57" s="30" t="s">
        <v>49</v>
      </c>
      <c r="B57" s="28" t="s">
        <v>110</v>
      </c>
      <c r="C57" s="7" t="s">
        <v>13</v>
      </c>
      <c r="D57" s="7"/>
      <c r="E57" s="7"/>
      <c r="F57" s="7"/>
      <c r="G57" s="7"/>
      <c r="H57" s="7"/>
      <c r="I57" s="7"/>
      <c r="J57" s="7"/>
      <c r="K57" s="49">
        <v>80000</v>
      </c>
      <c r="L57" s="7"/>
      <c r="M57" s="7"/>
      <c r="N57" s="7"/>
      <c r="O57" s="7"/>
      <c r="P57" s="7"/>
      <c r="Q57" s="7"/>
      <c r="R57" s="7"/>
      <c r="S57" s="70">
        <f>(Table1435[[#This Row],[Commercial Bid Price per case for NOI ($)]]-Table1435[[#This Row],[Pass-Thru Value per case ($)]])+Table1435[[#This Row],[Region 1: Fixed Fee Per Case ($)]]</f>
        <v>0</v>
      </c>
      <c r="T57" s="77" t="e">
        <f>(Table1435[[#This Row],[Commercial Bid Price per case for NOI ($)]]+Table1435[[#This Row],[Region 1: Fixed Fee Per Case ($)]])/Table1435[[#This Row],['# of CN Servings per case]]</f>
        <v>#DIV/0!</v>
      </c>
      <c r="U57" s="71" t="e">
        <f>Table1435[[#This Row],[Total Cost Per Serving (O+P)/J]]*Table1435[[#This Row],[Estimated Servings Annual]]</f>
        <v>#DIV/0!</v>
      </c>
      <c r="V57" s="70">
        <f>(Table1435[[#This Row],[Commercial Bid Price per case for NOI ($)]]-Table1435[[#This Row],[Pass-Thru Value per case ($)]])+Table1435[[#This Row],[Region 2: Fixed Fee Per Case ($)]]</f>
        <v>0</v>
      </c>
      <c r="W57" s="77" t="e">
        <f>(Table1435[[#This Row],[Commercial Bid Price per case for NOI ($)]]+Table1435[[#This Row],[Region 2: Fixed Fee Per Case ($)]])/Table1435[[#This Row],['# of CN Servings per case]]</f>
        <v>#DIV/0!</v>
      </c>
      <c r="X57" s="72" t="e">
        <f>Table1435[[#This Row],[Total Cost Per Serving (O+Q)/J]]*Table1435[[#This Row],[Estimated Servings Annual]]</f>
        <v>#DIV/0!</v>
      </c>
    </row>
    <row r="58" spans="1:24" ht="15" thickBot="1" x14ac:dyDescent="0.4">
      <c r="A58" s="30" t="s">
        <v>49</v>
      </c>
      <c r="B58" s="41" t="s">
        <v>110</v>
      </c>
      <c r="C58" s="8" t="s">
        <v>13</v>
      </c>
      <c r="D58" s="8"/>
      <c r="E58" s="8"/>
      <c r="F58" s="8"/>
      <c r="G58" s="8"/>
      <c r="H58" s="8"/>
      <c r="I58" s="8"/>
      <c r="J58" s="8"/>
      <c r="K58" s="50">
        <v>80000</v>
      </c>
      <c r="L58" s="8"/>
      <c r="M58" s="8"/>
      <c r="N58" s="8"/>
      <c r="O58" s="8"/>
      <c r="P58" s="8"/>
      <c r="Q58" s="8"/>
      <c r="R58" s="8"/>
      <c r="S58" s="73">
        <f>(Table1435[[#This Row],[Commercial Bid Price per case for NOI ($)]]-Table1435[[#This Row],[Pass-Thru Value per case ($)]])+Table1435[[#This Row],[Region 1: Fixed Fee Per Case ($)]]</f>
        <v>0</v>
      </c>
      <c r="T58" s="78" t="e">
        <f>(Table1435[[#This Row],[Commercial Bid Price per case for NOI ($)]]+Table1435[[#This Row],[Region 1: Fixed Fee Per Case ($)]])/Table1435[[#This Row],['# of CN Servings per case]]</f>
        <v>#DIV/0!</v>
      </c>
      <c r="U58" s="74" t="e">
        <f>Table1435[[#This Row],[Total Cost Per Serving (O+P)/J]]*Table1435[[#This Row],[Estimated Servings Annual]]</f>
        <v>#DIV/0!</v>
      </c>
      <c r="V58" s="73">
        <f>(Table1435[[#This Row],[Commercial Bid Price per case for NOI ($)]]-Table1435[[#This Row],[Pass-Thru Value per case ($)]])+Table1435[[#This Row],[Region 2: Fixed Fee Per Case ($)]]</f>
        <v>0</v>
      </c>
      <c r="W58" s="78" t="e">
        <f>(Table1435[[#This Row],[Commercial Bid Price per case for NOI ($)]]+Table1435[[#This Row],[Region 2: Fixed Fee Per Case ($)]])/Table1435[[#This Row],['# of CN Servings per case]]</f>
        <v>#DIV/0!</v>
      </c>
      <c r="X58" s="75" t="e">
        <f>Table1435[[#This Row],[Total Cost Per Serving (O+Q)/J]]*Table1435[[#This Row],[Estimated Servings Annual]]</f>
        <v>#DIV/0!</v>
      </c>
    </row>
    <row r="59" spans="1:24" x14ac:dyDescent="0.35">
      <c r="A59" s="30" t="s">
        <v>49</v>
      </c>
      <c r="B59" s="42" t="s">
        <v>111</v>
      </c>
      <c r="C59" s="6" t="s">
        <v>108</v>
      </c>
      <c r="D59" s="6"/>
      <c r="E59" s="6"/>
      <c r="F59" s="6"/>
      <c r="G59" s="6"/>
      <c r="H59" s="6"/>
      <c r="I59" s="6"/>
      <c r="J59" s="6"/>
      <c r="K59" s="48">
        <v>70000</v>
      </c>
      <c r="L59" s="6"/>
      <c r="M59" s="6"/>
      <c r="N59" s="6"/>
      <c r="O59" s="6"/>
      <c r="P59" s="6"/>
      <c r="Q59" s="6"/>
      <c r="R59" s="6"/>
      <c r="S59" s="79">
        <f>(Table1435[[#This Row],[Commercial Bid Price per case for NOI ($)]]-Table1435[[#This Row],[Pass-Thru Value per case ($)]])+Table1435[[#This Row],[Region 1: Fixed Fee Per Case ($)]]</f>
        <v>0</v>
      </c>
      <c r="T59" s="76" t="e">
        <f>(Table1435[[#This Row],[Commercial Bid Price per case for NOI ($)]]+Table1435[[#This Row],[Region 1: Fixed Fee Per Case ($)]])/Table1435[[#This Row],['# of CN Servings per case]]</f>
        <v>#DIV/0!</v>
      </c>
      <c r="U59" s="76" t="e">
        <f>Table1435[[#This Row],[Total Cost Per Serving (O+P)/J]]*Table1435[[#This Row],[Estimated Servings Annual]]</f>
        <v>#DIV/0!</v>
      </c>
      <c r="V59" s="79">
        <f>(Table1435[[#This Row],[Commercial Bid Price per case for NOI ($)]]-Table1435[[#This Row],[Pass-Thru Value per case ($)]])+Table1435[[#This Row],[Region 2: Fixed Fee Per Case ($)]]</f>
        <v>0</v>
      </c>
      <c r="W59" s="76" t="e">
        <f>(Table1435[[#This Row],[Commercial Bid Price per case for NOI ($)]]+Table1435[[#This Row],[Region 2: Fixed Fee Per Case ($)]])/Table1435[[#This Row],['# of CN Servings per case]]</f>
        <v>#DIV/0!</v>
      </c>
      <c r="X59" s="80" t="e">
        <f>Table1435[[#This Row],[Total Cost Per Serving (O+Q)/J]]*Table1435[[#This Row],[Estimated Servings Annual]]</f>
        <v>#DIV/0!</v>
      </c>
    </row>
    <row r="60" spans="1:24" x14ac:dyDescent="0.35">
      <c r="A60" s="30" t="s">
        <v>49</v>
      </c>
      <c r="B60" s="28" t="s">
        <v>111</v>
      </c>
      <c r="C60" s="7" t="s">
        <v>108</v>
      </c>
      <c r="D60" s="7"/>
      <c r="E60" s="7"/>
      <c r="F60" s="7"/>
      <c r="G60" s="7"/>
      <c r="H60" s="7"/>
      <c r="I60" s="7"/>
      <c r="J60" s="7"/>
      <c r="K60" s="49">
        <v>70000</v>
      </c>
      <c r="L60" s="7"/>
      <c r="M60" s="7"/>
      <c r="N60" s="7"/>
      <c r="O60" s="7"/>
      <c r="P60" s="7"/>
      <c r="Q60" s="7"/>
      <c r="R60" s="7"/>
      <c r="S60" s="81">
        <f>(Table1435[[#This Row],[Commercial Bid Price per case for NOI ($)]]-Table1435[[#This Row],[Pass-Thru Value per case ($)]])+Table1435[[#This Row],[Region 1: Fixed Fee Per Case ($)]]</f>
        <v>0</v>
      </c>
      <c r="T60" s="77" t="e">
        <f>(Table1435[[#This Row],[Commercial Bid Price per case for NOI ($)]]+Table1435[[#This Row],[Region 1: Fixed Fee Per Case ($)]])/Table1435[[#This Row],['# of CN Servings per case]]</f>
        <v>#DIV/0!</v>
      </c>
      <c r="U60" s="77" t="e">
        <f>Table1435[[#This Row],[Total Cost Per Serving (O+P)/J]]*Table1435[[#This Row],[Estimated Servings Annual]]</f>
        <v>#DIV/0!</v>
      </c>
      <c r="V60" s="81">
        <f>(Table1435[[#This Row],[Commercial Bid Price per case for NOI ($)]]-Table1435[[#This Row],[Pass-Thru Value per case ($)]])+Table1435[[#This Row],[Region 2: Fixed Fee Per Case ($)]]</f>
        <v>0</v>
      </c>
      <c r="W60" s="77" t="e">
        <f>(Table1435[[#This Row],[Commercial Bid Price per case for NOI ($)]]+Table1435[[#This Row],[Region 2: Fixed Fee Per Case ($)]])/Table1435[[#This Row],['# of CN Servings per case]]</f>
        <v>#DIV/0!</v>
      </c>
      <c r="X60" s="82" t="e">
        <f>Table1435[[#This Row],[Total Cost Per Serving (O+Q)/J]]*Table1435[[#This Row],[Estimated Servings Annual]]</f>
        <v>#DIV/0!</v>
      </c>
    </row>
    <row r="61" spans="1:24" x14ac:dyDescent="0.35">
      <c r="A61" s="30" t="s">
        <v>49</v>
      </c>
      <c r="B61" s="28" t="s">
        <v>111</v>
      </c>
      <c r="C61" s="7" t="s">
        <v>13</v>
      </c>
      <c r="D61" s="7"/>
      <c r="E61" s="7"/>
      <c r="F61" s="7"/>
      <c r="G61" s="7"/>
      <c r="H61" s="7"/>
      <c r="I61" s="7"/>
      <c r="J61" s="7"/>
      <c r="K61" s="49">
        <v>70000</v>
      </c>
      <c r="L61" s="7"/>
      <c r="M61" s="7"/>
      <c r="N61" s="7"/>
      <c r="O61" s="7"/>
      <c r="P61" s="7"/>
      <c r="Q61" s="7"/>
      <c r="R61" s="7"/>
      <c r="S61" s="81">
        <f>(Table1435[[#This Row],[Commercial Bid Price per case for NOI ($)]]-Table1435[[#This Row],[Pass-Thru Value per case ($)]])+Table1435[[#This Row],[Region 1: Fixed Fee Per Case ($)]]</f>
        <v>0</v>
      </c>
      <c r="T61" s="77" t="e">
        <f>(Table1435[[#This Row],[Commercial Bid Price per case for NOI ($)]]+Table1435[[#This Row],[Region 1: Fixed Fee Per Case ($)]])/Table1435[[#This Row],['# of CN Servings per case]]</f>
        <v>#DIV/0!</v>
      </c>
      <c r="U61" s="77" t="e">
        <f>Table1435[[#This Row],[Total Cost Per Serving (O+P)/J]]*Table1435[[#This Row],[Estimated Servings Annual]]</f>
        <v>#DIV/0!</v>
      </c>
      <c r="V61" s="81">
        <f>(Table1435[[#This Row],[Commercial Bid Price per case for NOI ($)]]-Table1435[[#This Row],[Pass-Thru Value per case ($)]])+Table1435[[#This Row],[Region 2: Fixed Fee Per Case ($)]]</f>
        <v>0</v>
      </c>
      <c r="W61" s="77" t="e">
        <f>(Table1435[[#This Row],[Commercial Bid Price per case for NOI ($)]]+Table1435[[#This Row],[Region 2: Fixed Fee Per Case ($)]])/Table1435[[#This Row],['# of CN Servings per case]]</f>
        <v>#DIV/0!</v>
      </c>
      <c r="X61" s="82" t="e">
        <f>Table1435[[#This Row],[Total Cost Per Serving (O+Q)/J]]*Table1435[[#This Row],[Estimated Servings Annual]]</f>
        <v>#DIV/0!</v>
      </c>
    </row>
    <row r="62" spans="1:24" x14ac:dyDescent="0.35">
      <c r="A62" s="30" t="s">
        <v>49</v>
      </c>
      <c r="B62" s="28" t="s">
        <v>111</v>
      </c>
      <c r="C62" s="7" t="s">
        <v>13</v>
      </c>
      <c r="D62" s="7"/>
      <c r="E62" s="7"/>
      <c r="F62" s="7"/>
      <c r="G62" s="7"/>
      <c r="H62" s="7"/>
      <c r="I62" s="7"/>
      <c r="J62" s="7"/>
      <c r="K62" s="49">
        <v>70000</v>
      </c>
      <c r="L62" s="7"/>
      <c r="M62" s="7"/>
      <c r="N62" s="7"/>
      <c r="O62" s="7"/>
      <c r="P62" s="7"/>
      <c r="Q62" s="7"/>
      <c r="R62" s="7"/>
      <c r="S62" s="81">
        <f>(Table1435[[#This Row],[Commercial Bid Price per case for NOI ($)]]-Table1435[[#This Row],[Pass-Thru Value per case ($)]])+Table1435[[#This Row],[Region 1: Fixed Fee Per Case ($)]]</f>
        <v>0</v>
      </c>
      <c r="T62" s="77" t="e">
        <f>(Table1435[[#This Row],[Commercial Bid Price per case for NOI ($)]]+Table1435[[#This Row],[Region 1: Fixed Fee Per Case ($)]])/Table1435[[#This Row],['# of CN Servings per case]]</f>
        <v>#DIV/0!</v>
      </c>
      <c r="U62" s="77" t="e">
        <f>Table1435[[#This Row],[Total Cost Per Serving (O+P)/J]]*Table1435[[#This Row],[Estimated Servings Annual]]</f>
        <v>#DIV/0!</v>
      </c>
      <c r="V62" s="81">
        <f>(Table1435[[#This Row],[Commercial Bid Price per case for NOI ($)]]-Table1435[[#This Row],[Pass-Thru Value per case ($)]])+Table1435[[#This Row],[Region 2: Fixed Fee Per Case ($)]]</f>
        <v>0</v>
      </c>
      <c r="W62" s="77" t="e">
        <f>(Table1435[[#This Row],[Commercial Bid Price per case for NOI ($)]]+Table1435[[#This Row],[Region 2: Fixed Fee Per Case ($)]])/Table1435[[#This Row],['# of CN Servings per case]]</f>
        <v>#DIV/0!</v>
      </c>
      <c r="X62" s="82" t="e">
        <f>Table1435[[#This Row],[Total Cost Per Serving (O+Q)/J]]*Table1435[[#This Row],[Estimated Servings Annual]]</f>
        <v>#DIV/0!</v>
      </c>
    </row>
    <row r="63" spans="1:24" x14ac:dyDescent="0.35">
      <c r="A63" s="30" t="s">
        <v>49</v>
      </c>
      <c r="B63" s="28" t="s">
        <v>111</v>
      </c>
      <c r="C63" s="7" t="s">
        <v>13</v>
      </c>
      <c r="D63" s="7"/>
      <c r="E63" s="7"/>
      <c r="F63" s="7"/>
      <c r="G63" s="7"/>
      <c r="H63" s="7"/>
      <c r="I63" s="7"/>
      <c r="J63" s="7"/>
      <c r="K63" s="49">
        <v>70000</v>
      </c>
      <c r="L63" s="7"/>
      <c r="M63" s="7"/>
      <c r="N63" s="7"/>
      <c r="O63" s="7"/>
      <c r="P63" s="7"/>
      <c r="Q63" s="7"/>
      <c r="R63" s="7"/>
      <c r="S63" s="81">
        <f>(Table1435[[#This Row],[Commercial Bid Price per case for NOI ($)]]-Table1435[[#This Row],[Pass-Thru Value per case ($)]])+Table1435[[#This Row],[Region 1: Fixed Fee Per Case ($)]]</f>
        <v>0</v>
      </c>
      <c r="T63" s="77" t="e">
        <f>(Table1435[[#This Row],[Commercial Bid Price per case for NOI ($)]]+Table1435[[#This Row],[Region 1: Fixed Fee Per Case ($)]])/Table1435[[#This Row],['# of CN Servings per case]]</f>
        <v>#DIV/0!</v>
      </c>
      <c r="U63" s="77" t="e">
        <f>Table1435[[#This Row],[Total Cost Per Serving (O+P)/J]]*Table1435[[#This Row],[Estimated Servings Annual]]</f>
        <v>#DIV/0!</v>
      </c>
      <c r="V63" s="81">
        <f>(Table1435[[#This Row],[Commercial Bid Price per case for NOI ($)]]-Table1435[[#This Row],[Pass-Thru Value per case ($)]])+Table1435[[#This Row],[Region 2: Fixed Fee Per Case ($)]]</f>
        <v>0</v>
      </c>
      <c r="W63" s="77" t="e">
        <f>(Table1435[[#This Row],[Commercial Bid Price per case for NOI ($)]]+Table1435[[#This Row],[Region 2: Fixed Fee Per Case ($)]])/Table1435[[#This Row],['# of CN Servings per case]]</f>
        <v>#DIV/0!</v>
      </c>
      <c r="X63" s="82" t="e">
        <f>Table1435[[#This Row],[Total Cost Per Serving (O+Q)/J]]*Table1435[[#This Row],[Estimated Servings Annual]]</f>
        <v>#DIV/0!</v>
      </c>
    </row>
    <row r="64" spans="1:24" x14ac:dyDescent="0.35">
      <c r="A64" s="30" t="s">
        <v>49</v>
      </c>
      <c r="B64" s="28" t="s">
        <v>111</v>
      </c>
      <c r="C64" s="7" t="s">
        <v>13</v>
      </c>
      <c r="D64" s="7"/>
      <c r="E64" s="7"/>
      <c r="F64" s="7"/>
      <c r="G64" s="7"/>
      <c r="H64" s="7"/>
      <c r="I64" s="7"/>
      <c r="J64" s="7"/>
      <c r="K64" s="49">
        <v>70000</v>
      </c>
      <c r="L64" s="7"/>
      <c r="M64" s="7"/>
      <c r="N64" s="7"/>
      <c r="O64" s="7"/>
      <c r="P64" s="7"/>
      <c r="Q64" s="7"/>
      <c r="R64" s="7"/>
      <c r="S64" s="81">
        <f>(Table1435[[#This Row],[Commercial Bid Price per case for NOI ($)]]-Table1435[[#This Row],[Pass-Thru Value per case ($)]])+Table1435[[#This Row],[Region 1: Fixed Fee Per Case ($)]]</f>
        <v>0</v>
      </c>
      <c r="T64" s="77" t="e">
        <f>(Table1435[[#This Row],[Commercial Bid Price per case for NOI ($)]]+Table1435[[#This Row],[Region 1: Fixed Fee Per Case ($)]])/Table1435[[#This Row],['# of CN Servings per case]]</f>
        <v>#DIV/0!</v>
      </c>
      <c r="U64" s="77" t="e">
        <f>Table1435[[#This Row],[Total Cost Per Serving (O+P)/J]]*Table1435[[#This Row],[Estimated Servings Annual]]</f>
        <v>#DIV/0!</v>
      </c>
      <c r="V64" s="81">
        <f>(Table1435[[#This Row],[Commercial Bid Price per case for NOI ($)]]-Table1435[[#This Row],[Pass-Thru Value per case ($)]])+Table1435[[#This Row],[Region 2: Fixed Fee Per Case ($)]]</f>
        <v>0</v>
      </c>
      <c r="W64" s="77" t="e">
        <f>(Table1435[[#This Row],[Commercial Bid Price per case for NOI ($)]]+Table1435[[#This Row],[Region 2: Fixed Fee Per Case ($)]])/Table1435[[#This Row],['# of CN Servings per case]]</f>
        <v>#DIV/0!</v>
      </c>
      <c r="X64" s="82" t="e">
        <f>Table1435[[#This Row],[Total Cost Per Serving (O+Q)/J]]*Table1435[[#This Row],[Estimated Servings Annual]]</f>
        <v>#DIV/0!</v>
      </c>
    </row>
    <row r="65" spans="1:24" x14ac:dyDescent="0.35">
      <c r="A65" s="30" t="s">
        <v>49</v>
      </c>
      <c r="B65" s="28" t="s">
        <v>111</v>
      </c>
      <c r="C65" s="7" t="s">
        <v>13</v>
      </c>
      <c r="D65" s="7"/>
      <c r="E65" s="7"/>
      <c r="F65" s="7"/>
      <c r="G65" s="7"/>
      <c r="H65" s="7"/>
      <c r="I65" s="7"/>
      <c r="J65" s="7"/>
      <c r="K65" s="49">
        <v>70000</v>
      </c>
      <c r="L65" s="7"/>
      <c r="M65" s="7"/>
      <c r="N65" s="7"/>
      <c r="O65" s="7"/>
      <c r="P65" s="7"/>
      <c r="Q65" s="7"/>
      <c r="R65" s="7"/>
      <c r="S65" s="81">
        <f>(Table1435[[#This Row],[Commercial Bid Price per case for NOI ($)]]-Table1435[[#This Row],[Pass-Thru Value per case ($)]])+Table1435[[#This Row],[Region 1: Fixed Fee Per Case ($)]]</f>
        <v>0</v>
      </c>
      <c r="T65" s="77" t="e">
        <f>(Table1435[[#This Row],[Commercial Bid Price per case for NOI ($)]]+Table1435[[#This Row],[Region 1: Fixed Fee Per Case ($)]])/Table1435[[#This Row],['# of CN Servings per case]]</f>
        <v>#DIV/0!</v>
      </c>
      <c r="U65" s="77" t="e">
        <f>Table1435[[#This Row],[Total Cost Per Serving (O+P)/J]]*Table1435[[#This Row],[Estimated Servings Annual]]</f>
        <v>#DIV/0!</v>
      </c>
      <c r="V65" s="81">
        <f>(Table1435[[#This Row],[Commercial Bid Price per case for NOI ($)]]-Table1435[[#This Row],[Pass-Thru Value per case ($)]])+Table1435[[#This Row],[Region 2: Fixed Fee Per Case ($)]]</f>
        <v>0</v>
      </c>
      <c r="W65" s="77" t="e">
        <f>(Table1435[[#This Row],[Commercial Bid Price per case for NOI ($)]]+Table1435[[#This Row],[Region 2: Fixed Fee Per Case ($)]])/Table1435[[#This Row],['# of CN Servings per case]]</f>
        <v>#DIV/0!</v>
      </c>
      <c r="X65" s="82" t="e">
        <f>Table1435[[#This Row],[Total Cost Per Serving (O+Q)/J]]*Table1435[[#This Row],[Estimated Servings Annual]]</f>
        <v>#DIV/0!</v>
      </c>
    </row>
    <row r="66" spans="1:24" ht="15" thickBot="1" x14ac:dyDescent="0.4">
      <c r="A66" s="30" t="s">
        <v>49</v>
      </c>
      <c r="B66" s="41" t="s">
        <v>111</v>
      </c>
      <c r="C66" s="8" t="s">
        <v>13</v>
      </c>
      <c r="D66" s="8"/>
      <c r="E66" s="8"/>
      <c r="F66" s="8"/>
      <c r="G66" s="8"/>
      <c r="H66" s="8"/>
      <c r="I66" s="8"/>
      <c r="J66" s="8"/>
      <c r="K66" s="50">
        <v>70000</v>
      </c>
      <c r="L66" s="8"/>
      <c r="M66" s="8"/>
      <c r="N66" s="8"/>
      <c r="O66" s="8"/>
      <c r="P66" s="8"/>
      <c r="Q66" s="8"/>
      <c r="R66" s="8"/>
      <c r="S66" s="83">
        <f>(Table1435[[#This Row],[Commercial Bid Price per case for NOI ($)]]-Table1435[[#This Row],[Pass-Thru Value per case ($)]])+Table1435[[#This Row],[Region 1: Fixed Fee Per Case ($)]]</f>
        <v>0</v>
      </c>
      <c r="T66" s="78" t="e">
        <f>(Table1435[[#This Row],[Commercial Bid Price per case for NOI ($)]]+Table1435[[#This Row],[Region 1: Fixed Fee Per Case ($)]])/Table1435[[#This Row],['# of CN Servings per case]]</f>
        <v>#DIV/0!</v>
      </c>
      <c r="U66" s="78" t="e">
        <f>Table1435[[#This Row],[Total Cost Per Serving (O+P)/J]]*Table1435[[#This Row],[Estimated Servings Annual]]</f>
        <v>#DIV/0!</v>
      </c>
      <c r="V66" s="83">
        <f>(Table1435[[#This Row],[Commercial Bid Price per case for NOI ($)]]-Table1435[[#This Row],[Pass-Thru Value per case ($)]])+Table1435[[#This Row],[Region 2: Fixed Fee Per Case ($)]]</f>
        <v>0</v>
      </c>
      <c r="W66" s="78" t="e">
        <f>(Table1435[[#This Row],[Commercial Bid Price per case for NOI ($)]]+Table1435[[#This Row],[Region 2: Fixed Fee Per Case ($)]])/Table1435[[#This Row],['# of CN Servings per case]]</f>
        <v>#DIV/0!</v>
      </c>
      <c r="X66" s="84" t="e">
        <f>Table1435[[#This Row],[Total Cost Per Serving (O+Q)/J]]*Table1435[[#This Row],[Estimated Servings Annual]]</f>
        <v>#DIV/0!</v>
      </c>
    </row>
    <row r="67" spans="1:24" x14ac:dyDescent="0.35">
      <c r="A67" s="30" t="s">
        <v>49</v>
      </c>
      <c r="B67" s="42" t="s">
        <v>112</v>
      </c>
      <c r="C67" s="6" t="s">
        <v>108</v>
      </c>
      <c r="D67" s="6"/>
      <c r="E67" s="6"/>
      <c r="F67" s="6"/>
      <c r="G67" s="6"/>
      <c r="H67" s="6"/>
      <c r="I67" s="6"/>
      <c r="J67" s="6"/>
      <c r="K67" s="48">
        <v>250000</v>
      </c>
      <c r="L67" s="6"/>
      <c r="M67" s="6"/>
      <c r="N67" s="6"/>
      <c r="O67" s="6"/>
      <c r="P67" s="6"/>
      <c r="Q67" s="6"/>
      <c r="R67" s="6"/>
      <c r="S67" s="79">
        <f>(Table1435[[#This Row],[Commercial Bid Price per case for NOI ($)]]-Table1435[[#This Row],[Pass-Thru Value per case ($)]])+Table1435[[#This Row],[Region 1: Fixed Fee Per Case ($)]]</f>
        <v>0</v>
      </c>
      <c r="T67" s="76" t="e">
        <f>(Table1435[[#This Row],[Commercial Bid Price per case for NOI ($)]]+Table1435[[#This Row],[Region 1: Fixed Fee Per Case ($)]])/Table1435[[#This Row],['# of CN Servings per case]]</f>
        <v>#DIV/0!</v>
      </c>
      <c r="U67" s="76" t="e">
        <f>Table1435[[#This Row],[Total Cost Per Serving (O+P)/J]]*Table1435[[#This Row],[Estimated Servings Annual]]</f>
        <v>#DIV/0!</v>
      </c>
      <c r="V67" s="79">
        <f>(Table1435[[#This Row],[Commercial Bid Price per case for NOI ($)]]-Table1435[[#This Row],[Pass-Thru Value per case ($)]])+Table1435[[#This Row],[Region 2: Fixed Fee Per Case ($)]]</f>
        <v>0</v>
      </c>
      <c r="W67" s="76" t="e">
        <f>(Table1435[[#This Row],[Commercial Bid Price per case for NOI ($)]]+Table1435[[#This Row],[Region 2: Fixed Fee Per Case ($)]])/Table1435[[#This Row],['# of CN Servings per case]]</f>
        <v>#DIV/0!</v>
      </c>
      <c r="X67" s="80" t="e">
        <f>Table1435[[#This Row],[Total Cost Per Serving (O+Q)/J]]*Table1435[[#This Row],[Estimated Servings Annual]]</f>
        <v>#DIV/0!</v>
      </c>
    </row>
    <row r="68" spans="1:24" x14ac:dyDescent="0.35">
      <c r="A68" s="30" t="s">
        <v>49</v>
      </c>
      <c r="B68" s="28" t="s">
        <v>112</v>
      </c>
      <c r="C68" s="7" t="s">
        <v>108</v>
      </c>
      <c r="D68" s="7"/>
      <c r="E68" s="7"/>
      <c r="F68" s="7"/>
      <c r="G68" s="7"/>
      <c r="H68" s="7"/>
      <c r="I68" s="7"/>
      <c r="J68" s="7"/>
      <c r="K68" s="49">
        <v>250000</v>
      </c>
      <c r="L68" s="7"/>
      <c r="M68" s="7"/>
      <c r="N68" s="7"/>
      <c r="O68" s="7"/>
      <c r="P68" s="7"/>
      <c r="Q68" s="7"/>
      <c r="R68" s="7"/>
      <c r="S68" s="81">
        <f>(Table1435[[#This Row],[Commercial Bid Price per case for NOI ($)]]-Table1435[[#This Row],[Pass-Thru Value per case ($)]])+Table1435[[#This Row],[Region 1: Fixed Fee Per Case ($)]]</f>
        <v>0</v>
      </c>
      <c r="T68" s="77" t="e">
        <f>(Table1435[[#This Row],[Commercial Bid Price per case for NOI ($)]]+Table1435[[#This Row],[Region 1: Fixed Fee Per Case ($)]])/Table1435[[#This Row],['# of CN Servings per case]]</f>
        <v>#DIV/0!</v>
      </c>
      <c r="U68" s="77" t="e">
        <f>Table1435[[#This Row],[Total Cost Per Serving (O+P)/J]]*Table1435[[#This Row],[Estimated Servings Annual]]</f>
        <v>#DIV/0!</v>
      </c>
      <c r="V68" s="81">
        <f>(Table1435[[#This Row],[Commercial Bid Price per case for NOI ($)]]-Table1435[[#This Row],[Pass-Thru Value per case ($)]])+Table1435[[#This Row],[Region 2: Fixed Fee Per Case ($)]]</f>
        <v>0</v>
      </c>
      <c r="W68" s="77" t="e">
        <f>(Table1435[[#This Row],[Commercial Bid Price per case for NOI ($)]]+Table1435[[#This Row],[Region 2: Fixed Fee Per Case ($)]])/Table1435[[#This Row],['# of CN Servings per case]]</f>
        <v>#DIV/0!</v>
      </c>
      <c r="X68" s="82" t="e">
        <f>Table1435[[#This Row],[Total Cost Per Serving (O+Q)/J]]*Table1435[[#This Row],[Estimated Servings Annual]]</f>
        <v>#DIV/0!</v>
      </c>
    </row>
    <row r="69" spans="1:24" x14ac:dyDescent="0.35">
      <c r="A69" s="30" t="s">
        <v>49</v>
      </c>
      <c r="B69" s="28" t="s">
        <v>112</v>
      </c>
      <c r="C69" s="7" t="s">
        <v>28</v>
      </c>
      <c r="D69" s="7"/>
      <c r="E69" s="7"/>
      <c r="F69" s="7"/>
      <c r="G69" s="7"/>
      <c r="H69" s="7"/>
      <c r="I69" s="7"/>
      <c r="J69" s="7"/>
      <c r="K69" s="49">
        <v>250000</v>
      </c>
      <c r="L69" s="7"/>
      <c r="M69" s="7"/>
      <c r="N69" s="7"/>
      <c r="O69" s="7"/>
      <c r="P69" s="7"/>
      <c r="Q69" s="7"/>
      <c r="R69" s="7"/>
      <c r="S69" s="81">
        <f>(Table1435[[#This Row],[Commercial Bid Price per case for NOI ($)]]-Table1435[[#This Row],[Pass-Thru Value per case ($)]])+Table1435[[#This Row],[Region 1: Fixed Fee Per Case ($)]]</f>
        <v>0</v>
      </c>
      <c r="T69" s="77" t="e">
        <f>(Table1435[[#This Row],[Commercial Bid Price per case for NOI ($)]]+Table1435[[#This Row],[Region 1: Fixed Fee Per Case ($)]])/Table1435[[#This Row],['# of CN Servings per case]]</f>
        <v>#DIV/0!</v>
      </c>
      <c r="U69" s="77" t="e">
        <f>Table1435[[#This Row],[Total Cost Per Serving (O+P)/J]]*Table1435[[#This Row],[Estimated Servings Annual]]</f>
        <v>#DIV/0!</v>
      </c>
      <c r="V69" s="81">
        <f>(Table1435[[#This Row],[Commercial Bid Price per case for NOI ($)]]-Table1435[[#This Row],[Pass-Thru Value per case ($)]])+Table1435[[#This Row],[Region 2: Fixed Fee Per Case ($)]]</f>
        <v>0</v>
      </c>
      <c r="W69" s="77" t="e">
        <f>(Table1435[[#This Row],[Commercial Bid Price per case for NOI ($)]]+Table1435[[#This Row],[Region 2: Fixed Fee Per Case ($)]])/Table1435[[#This Row],['# of CN Servings per case]]</f>
        <v>#DIV/0!</v>
      </c>
      <c r="X69" s="82" t="e">
        <f>Table1435[[#This Row],[Total Cost Per Serving (O+Q)/J]]*Table1435[[#This Row],[Estimated Servings Annual]]</f>
        <v>#DIV/0!</v>
      </c>
    </row>
    <row r="70" spans="1:24" x14ac:dyDescent="0.35">
      <c r="A70" s="30" t="s">
        <v>49</v>
      </c>
      <c r="B70" s="28" t="s">
        <v>112</v>
      </c>
      <c r="C70" s="7" t="s">
        <v>28</v>
      </c>
      <c r="D70" s="7"/>
      <c r="E70" s="7"/>
      <c r="F70" s="7"/>
      <c r="G70" s="7"/>
      <c r="H70" s="7"/>
      <c r="I70" s="7"/>
      <c r="J70" s="7"/>
      <c r="K70" s="49">
        <v>250000</v>
      </c>
      <c r="L70" s="7"/>
      <c r="M70" s="7"/>
      <c r="N70" s="7"/>
      <c r="O70" s="7"/>
      <c r="P70" s="7"/>
      <c r="Q70" s="7"/>
      <c r="R70" s="7"/>
      <c r="S70" s="81">
        <f>(Table1435[[#This Row],[Commercial Bid Price per case for NOI ($)]]-Table1435[[#This Row],[Pass-Thru Value per case ($)]])+Table1435[[#This Row],[Region 1: Fixed Fee Per Case ($)]]</f>
        <v>0</v>
      </c>
      <c r="T70" s="77" t="e">
        <f>(Table1435[[#This Row],[Commercial Bid Price per case for NOI ($)]]+Table1435[[#This Row],[Region 1: Fixed Fee Per Case ($)]])/Table1435[[#This Row],['# of CN Servings per case]]</f>
        <v>#DIV/0!</v>
      </c>
      <c r="U70" s="77" t="e">
        <f>Table1435[[#This Row],[Total Cost Per Serving (O+P)/J]]*Table1435[[#This Row],[Estimated Servings Annual]]</f>
        <v>#DIV/0!</v>
      </c>
      <c r="V70" s="81">
        <f>(Table1435[[#This Row],[Commercial Bid Price per case for NOI ($)]]-Table1435[[#This Row],[Pass-Thru Value per case ($)]])+Table1435[[#This Row],[Region 2: Fixed Fee Per Case ($)]]</f>
        <v>0</v>
      </c>
      <c r="W70" s="77" t="e">
        <f>(Table1435[[#This Row],[Commercial Bid Price per case for NOI ($)]]+Table1435[[#This Row],[Region 2: Fixed Fee Per Case ($)]])/Table1435[[#This Row],['# of CN Servings per case]]</f>
        <v>#DIV/0!</v>
      </c>
      <c r="X70" s="82" t="e">
        <f>Table1435[[#This Row],[Total Cost Per Serving (O+Q)/J]]*Table1435[[#This Row],[Estimated Servings Annual]]</f>
        <v>#DIV/0!</v>
      </c>
    </row>
    <row r="71" spans="1:24" x14ac:dyDescent="0.35">
      <c r="A71" s="30" t="s">
        <v>49</v>
      </c>
      <c r="B71" s="28" t="s">
        <v>112</v>
      </c>
      <c r="C71" s="7" t="s">
        <v>13</v>
      </c>
      <c r="D71" s="7"/>
      <c r="E71" s="7"/>
      <c r="F71" s="7"/>
      <c r="G71" s="7"/>
      <c r="H71" s="7"/>
      <c r="I71" s="7"/>
      <c r="J71" s="7"/>
      <c r="K71" s="49">
        <v>250000</v>
      </c>
      <c r="L71" s="7"/>
      <c r="M71" s="7"/>
      <c r="N71" s="7"/>
      <c r="O71" s="7"/>
      <c r="P71" s="7"/>
      <c r="Q71" s="7"/>
      <c r="R71" s="7"/>
      <c r="S71" s="81">
        <f>(Table1435[[#This Row],[Commercial Bid Price per case for NOI ($)]]-Table1435[[#This Row],[Pass-Thru Value per case ($)]])+Table1435[[#This Row],[Region 1: Fixed Fee Per Case ($)]]</f>
        <v>0</v>
      </c>
      <c r="T71" s="77" t="e">
        <f>(Table1435[[#This Row],[Commercial Bid Price per case for NOI ($)]]+Table1435[[#This Row],[Region 1: Fixed Fee Per Case ($)]])/Table1435[[#This Row],['# of CN Servings per case]]</f>
        <v>#DIV/0!</v>
      </c>
      <c r="U71" s="77" t="e">
        <f>Table1435[[#This Row],[Total Cost Per Serving (O+P)/J]]*Table1435[[#This Row],[Estimated Servings Annual]]</f>
        <v>#DIV/0!</v>
      </c>
      <c r="V71" s="81">
        <f>(Table1435[[#This Row],[Commercial Bid Price per case for NOI ($)]]-Table1435[[#This Row],[Pass-Thru Value per case ($)]])+Table1435[[#This Row],[Region 2: Fixed Fee Per Case ($)]]</f>
        <v>0</v>
      </c>
      <c r="W71" s="77" t="e">
        <f>(Table1435[[#This Row],[Commercial Bid Price per case for NOI ($)]]+Table1435[[#This Row],[Region 2: Fixed Fee Per Case ($)]])/Table1435[[#This Row],['# of CN Servings per case]]</f>
        <v>#DIV/0!</v>
      </c>
      <c r="X71" s="82" t="e">
        <f>Table1435[[#This Row],[Total Cost Per Serving (O+Q)/J]]*Table1435[[#This Row],[Estimated Servings Annual]]</f>
        <v>#DIV/0!</v>
      </c>
    </row>
    <row r="72" spans="1:24" x14ac:dyDescent="0.35">
      <c r="A72" s="30" t="s">
        <v>49</v>
      </c>
      <c r="B72" s="28" t="s">
        <v>112</v>
      </c>
      <c r="C72" s="7" t="s">
        <v>13</v>
      </c>
      <c r="D72" s="7"/>
      <c r="E72" s="7"/>
      <c r="F72" s="7"/>
      <c r="G72" s="7"/>
      <c r="H72" s="7"/>
      <c r="I72" s="7"/>
      <c r="J72" s="7"/>
      <c r="K72" s="49">
        <v>250000</v>
      </c>
      <c r="L72" s="7"/>
      <c r="M72" s="7"/>
      <c r="N72" s="7"/>
      <c r="O72" s="7"/>
      <c r="P72" s="7"/>
      <c r="Q72" s="7"/>
      <c r="R72" s="7"/>
      <c r="S72" s="81">
        <f>(Table1435[[#This Row],[Commercial Bid Price per case for NOI ($)]]-Table1435[[#This Row],[Pass-Thru Value per case ($)]])+Table1435[[#This Row],[Region 1: Fixed Fee Per Case ($)]]</f>
        <v>0</v>
      </c>
      <c r="T72" s="77" t="e">
        <f>(Table1435[[#This Row],[Commercial Bid Price per case for NOI ($)]]+Table1435[[#This Row],[Region 1: Fixed Fee Per Case ($)]])/Table1435[[#This Row],['# of CN Servings per case]]</f>
        <v>#DIV/0!</v>
      </c>
      <c r="U72" s="77" t="e">
        <f>Table1435[[#This Row],[Total Cost Per Serving (O+P)/J]]*Table1435[[#This Row],[Estimated Servings Annual]]</f>
        <v>#DIV/0!</v>
      </c>
      <c r="V72" s="81">
        <f>(Table1435[[#This Row],[Commercial Bid Price per case for NOI ($)]]-Table1435[[#This Row],[Pass-Thru Value per case ($)]])+Table1435[[#This Row],[Region 2: Fixed Fee Per Case ($)]]</f>
        <v>0</v>
      </c>
      <c r="W72" s="77" t="e">
        <f>(Table1435[[#This Row],[Commercial Bid Price per case for NOI ($)]]+Table1435[[#This Row],[Region 2: Fixed Fee Per Case ($)]])/Table1435[[#This Row],['# of CN Servings per case]]</f>
        <v>#DIV/0!</v>
      </c>
      <c r="X72" s="82" t="e">
        <f>Table1435[[#This Row],[Total Cost Per Serving (O+Q)/J]]*Table1435[[#This Row],[Estimated Servings Annual]]</f>
        <v>#DIV/0!</v>
      </c>
    </row>
    <row r="73" spans="1:24" x14ac:dyDescent="0.35">
      <c r="A73" s="30" t="s">
        <v>49</v>
      </c>
      <c r="B73" s="28" t="s">
        <v>112</v>
      </c>
      <c r="C73" s="7" t="s">
        <v>13</v>
      </c>
      <c r="D73" s="7"/>
      <c r="E73" s="7"/>
      <c r="F73" s="7"/>
      <c r="G73" s="7"/>
      <c r="H73" s="7"/>
      <c r="I73" s="7"/>
      <c r="J73" s="7"/>
      <c r="K73" s="49">
        <v>250000</v>
      </c>
      <c r="L73" s="7"/>
      <c r="M73" s="7"/>
      <c r="N73" s="7"/>
      <c r="O73" s="7"/>
      <c r="P73" s="7"/>
      <c r="Q73" s="7"/>
      <c r="R73" s="7"/>
      <c r="S73" s="81">
        <f>(Table1435[[#This Row],[Commercial Bid Price per case for NOI ($)]]-Table1435[[#This Row],[Pass-Thru Value per case ($)]])+Table1435[[#This Row],[Region 1: Fixed Fee Per Case ($)]]</f>
        <v>0</v>
      </c>
      <c r="T73" s="77" t="e">
        <f>(Table1435[[#This Row],[Commercial Bid Price per case for NOI ($)]]+Table1435[[#This Row],[Region 1: Fixed Fee Per Case ($)]])/Table1435[[#This Row],['# of CN Servings per case]]</f>
        <v>#DIV/0!</v>
      </c>
      <c r="U73" s="77" t="e">
        <f>Table1435[[#This Row],[Total Cost Per Serving (O+P)/J]]*Table1435[[#This Row],[Estimated Servings Annual]]</f>
        <v>#DIV/0!</v>
      </c>
      <c r="V73" s="81">
        <f>(Table1435[[#This Row],[Commercial Bid Price per case for NOI ($)]]-Table1435[[#This Row],[Pass-Thru Value per case ($)]])+Table1435[[#This Row],[Region 2: Fixed Fee Per Case ($)]]</f>
        <v>0</v>
      </c>
      <c r="W73" s="77" t="e">
        <f>(Table1435[[#This Row],[Commercial Bid Price per case for NOI ($)]]+Table1435[[#This Row],[Region 2: Fixed Fee Per Case ($)]])/Table1435[[#This Row],['# of CN Servings per case]]</f>
        <v>#DIV/0!</v>
      </c>
      <c r="X73" s="82" t="e">
        <f>Table1435[[#This Row],[Total Cost Per Serving (O+Q)/J]]*Table1435[[#This Row],[Estimated Servings Annual]]</f>
        <v>#DIV/0!</v>
      </c>
    </row>
    <row r="74" spans="1:24" ht="15" thickBot="1" x14ac:dyDescent="0.4">
      <c r="A74" s="30" t="s">
        <v>49</v>
      </c>
      <c r="B74" s="32" t="s">
        <v>112</v>
      </c>
      <c r="C74" s="27" t="s">
        <v>13</v>
      </c>
      <c r="D74" s="27"/>
      <c r="E74" s="27"/>
      <c r="F74" s="27"/>
      <c r="G74" s="27"/>
      <c r="H74" s="27"/>
      <c r="I74" s="27"/>
      <c r="J74" s="27"/>
      <c r="K74" s="58">
        <v>250000</v>
      </c>
      <c r="L74" s="27"/>
      <c r="M74" s="27"/>
      <c r="N74" s="27"/>
      <c r="O74" s="27"/>
      <c r="P74" s="27"/>
      <c r="Q74" s="27"/>
      <c r="R74" s="27"/>
      <c r="S74" s="90">
        <f>(Table1435[[#This Row],[Commercial Bid Price per case for NOI ($)]]-Table1435[[#This Row],[Pass-Thru Value per case ($)]])+Table1435[[#This Row],[Region 1: Fixed Fee Per Case ($)]]</f>
        <v>0</v>
      </c>
      <c r="T74" s="91" t="e">
        <f>(Table1435[[#This Row],[Commercial Bid Price per case for NOI ($)]]+Table1435[[#This Row],[Region 1: Fixed Fee Per Case ($)]])/Table1435[[#This Row],['# of CN Servings per case]]</f>
        <v>#DIV/0!</v>
      </c>
      <c r="U74" s="91" t="e">
        <f>Table1435[[#This Row],[Total Cost Per Serving (O+P)/J]]*Table1435[[#This Row],[Estimated Servings Annual]]</f>
        <v>#DIV/0!</v>
      </c>
      <c r="V74" s="90">
        <f>(Table1435[[#This Row],[Commercial Bid Price per case for NOI ($)]]-Table1435[[#This Row],[Pass-Thru Value per case ($)]])+Table1435[[#This Row],[Region 2: Fixed Fee Per Case ($)]]</f>
        <v>0</v>
      </c>
      <c r="W74" s="91" t="e">
        <f>(Table1435[[#This Row],[Commercial Bid Price per case for NOI ($)]]+Table1435[[#This Row],[Region 2: Fixed Fee Per Case ($)]])/Table1435[[#This Row],['# of CN Servings per case]]</f>
        <v>#DIV/0!</v>
      </c>
      <c r="X74" s="92" t="e">
        <f>Table1435[[#This Row],[Total Cost Per Serving (O+Q)/J]]*Table1435[[#This Row],[Estimated Servings Annual]]</f>
        <v>#DIV/0!</v>
      </c>
    </row>
    <row r="75" spans="1:24" x14ac:dyDescent="0.35">
      <c r="A75" s="30" t="s">
        <v>49</v>
      </c>
      <c r="B75" s="11" t="s">
        <v>41</v>
      </c>
      <c r="C75" s="6" t="s">
        <v>108</v>
      </c>
      <c r="D75" s="6"/>
      <c r="E75" s="6"/>
      <c r="F75" s="6"/>
      <c r="G75" s="6"/>
      <c r="H75" s="6"/>
      <c r="I75" s="6"/>
      <c r="J75" s="19"/>
      <c r="K75" s="48">
        <v>100000</v>
      </c>
      <c r="L75" s="22"/>
      <c r="M75" s="6"/>
      <c r="N75" s="6"/>
      <c r="O75" s="6"/>
      <c r="P75" s="6"/>
      <c r="Q75" s="6"/>
      <c r="R75" s="6"/>
      <c r="S75" s="79">
        <f>(Table1435[[#This Row],[Commercial Bid Price per case for NOI ($)]]-Table1435[[#This Row],[Pass-Thru Value per case ($)]])+Table1435[[#This Row],[Region 1: Fixed Fee Per Case ($)]]</f>
        <v>0</v>
      </c>
      <c r="T75" s="76" t="e">
        <f>(Table1435[[#This Row],[Commercial Bid Price per case for NOI ($)]]+Table1435[[#This Row],[Region 1: Fixed Fee Per Case ($)]])/Table1435[[#This Row],['# of CN Servings per case]]</f>
        <v>#DIV/0!</v>
      </c>
      <c r="U75" s="76" t="e">
        <f>Table1435[[#This Row],[Total Cost Per Serving (O+P)/J]]*Table1435[[#This Row],[Estimated Servings Annual]]</f>
        <v>#DIV/0!</v>
      </c>
      <c r="V75" s="79">
        <f>(Table1435[[#This Row],[Commercial Bid Price per case for NOI ($)]]-Table1435[[#This Row],[Pass-Thru Value per case ($)]])+Table1435[[#This Row],[Region 2: Fixed Fee Per Case ($)]]</f>
        <v>0</v>
      </c>
      <c r="W75" s="76" t="e">
        <f>(Table1435[[#This Row],[Commercial Bid Price per case for NOI ($)]]+Table1435[[#This Row],[Region 2: Fixed Fee Per Case ($)]])/Table1435[[#This Row],['# of CN Servings per case]]</f>
        <v>#DIV/0!</v>
      </c>
      <c r="X75" s="80" t="e">
        <f>Table1435[[#This Row],[Total Cost Per Serving (O+Q)/J]]*Table1435[[#This Row],[Estimated Servings Annual]]</f>
        <v>#DIV/0!</v>
      </c>
    </row>
    <row r="76" spans="1:24" x14ac:dyDescent="0.35">
      <c r="A76" s="30" t="s">
        <v>49</v>
      </c>
      <c r="B76" s="39" t="s">
        <v>41</v>
      </c>
      <c r="C76" s="7" t="s">
        <v>108</v>
      </c>
      <c r="D76" s="7"/>
      <c r="E76" s="7"/>
      <c r="F76" s="7"/>
      <c r="G76" s="7"/>
      <c r="H76" s="7"/>
      <c r="I76" s="7"/>
      <c r="J76" s="20"/>
      <c r="K76" s="49">
        <v>100000</v>
      </c>
      <c r="L76" s="23"/>
      <c r="M76" s="7"/>
      <c r="N76" s="7"/>
      <c r="O76" s="7"/>
      <c r="P76" s="7"/>
      <c r="Q76" s="7"/>
      <c r="R76" s="7"/>
      <c r="S76" s="81">
        <f>(Table1435[[#This Row],[Commercial Bid Price per case for NOI ($)]]-Table1435[[#This Row],[Pass-Thru Value per case ($)]])+Table1435[[#This Row],[Region 1: Fixed Fee Per Case ($)]]</f>
        <v>0</v>
      </c>
      <c r="T76" s="77" t="e">
        <f>(Table1435[[#This Row],[Commercial Bid Price per case for NOI ($)]]+Table1435[[#This Row],[Region 1: Fixed Fee Per Case ($)]])/Table1435[[#This Row],['# of CN Servings per case]]</f>
        <v>#DIV/0!</v>
      </c>
      <c r="U76" s="77" t="e">
        <f>Table1435[[#This Row],[Total Cost Per Serving (O+P)/J]]*Table1435[[#This Row],[Estimated Servings Annual]]</f>
        <v>#DIV/0!</v>
      </c>
      <c r="V76" s="81">
        <f>(Table1435[[#This Row],[Commercial Bid Price per case for NOI ($)]]-Table1435[[#This Row],[Pass-Thru Value per case ($)]])+Table1435[[#This Row],[Region 2: Fixed Fee Per Case ($)]]</f>
        <v>0</v>
      </c>
      <c r="W76" s="77" t="e">
        <f>(Table1435[[#This Row],[Commercial Bid Price per case for NOI ($)]]+Table1435[[#This Row],[Region 2: Fixed Fee Per Case ($)]])/Table1435[[#This Row],['# of CN Servings per case]]</f>
        <v>#DIV/0!</v>
      </c>
      <c r="X76" s="82" t="e">
        <f>Table1435[[#This Row],[Total Cost Per Serving (O+Q)/J]]*Table1435[[#This Row],[Estimated Servings Annual]]</f>
        <v>#DIV/0!</v>
      </c>
    </row>
    <row r="77" spans="1:24" x14ac:dyDescent="0.35">
      <c r="A77" s="30" t="s">
        <v>49</v>
      </c>
      <c r="B77" s="39" t="s">
        <v>41</v>
      </c>
      <c r="C77" s="7" t="s">
        <v>28</v>
      </c>
      <c r="D77" s="7"/>
      <c r="E77" s="7"/>
      <c r="F77" s="7"/>
      <c r="G77" s="7"/>
      <c r="H77" s="7"/>
      <c r="I77" s="7"/>
      <c r="J77" s="20"/>
      <c r="K77" s="49">
        <v>100000</v>
      </c>
      <c r="L77" s="23"/>
      <c r="M77" s="7"/>
      <c r="N77" s="7"/>
      <c r="O77" s="7"/>
      <c r="P77" s="7"/>
      <c r="Q77" s="7"/>
      <c r="R77" s="7"/>
      <c r="S77" s="81">
        <f>(Table1435[[#This Row],[Commercial Bid Price per case for NOI ($)]]-Table1435[[#This Row],[Pass-Thru Value per case ($)]])+Table1435[[#This Row],[Region 1: Fixed Fee Per Case ($)]]</f>
        <v>0</v>
      </c>
      <c r="T77" s="77" t="e">
        <f>(Table1435[[#This Row],[Commercial Bid Price per case for NOI ($)]]+Table1435[[#This Row],[Region 1: Fixed Fee Per Case ($)]])/Table1435[[#This Row],['# of CN Servings per case]]</f>
        <v>#DIV/0!</v>
      </c>
      <c r="U77" s="77" t="e">
        <f>Table1435[[#This Row],[Total Cost Per Serving (O+P)/J]]*Table1435[[#This Row],[Estimated Servings Annual]]</f>
        <v>#DIV/0!</v>
      </c>
      <c r="V77" s="81">
        <f>(Table1435[[#This Row],[Commercial Bid Price per case for NOI ($)]]-Table1435[[#This Row],[Pass-Thru Value per case ($)]])+Table1435[[#This Row],[Region 2: Fixed Fee Per Case ($)]]</f>
        <v>0</v>
      </c>
      <c r="W77" s="77" t="e">
        <f>(Table1435[[#This Row],[Commercial Bid Price per case for NOI ($)]]+Table1435[[#This Row],[Region 2: Fixed Fee Per Case ($)]])/Table1435[[#This Row],['# of CN Servings per case]]</f>
        <v>#DIV/0!</v>
      </c>
      <c r="X77" s="82" t="e">
        <f>Table1435[[#This Row],[Total Cost Per Serving (O+Q)/J]]*Table1435[[#This Row],[Estimated Servings Annual]]</f>
        <v>#DIV/0!</v>
      </c>
    </row>
    <row r="78" spans="1:24" x14ac:dyDescent="0.35">
      <c r="A78" s="30" t="s">
        <v>49</v>
      </c>
      <c r="B78" s="39" t="s">
        <v>41</v>
      </c>
      <c r="C78" s="7" t="s">
        <v>28</v>
      </c>
      <c r="D78" s="7"/>
      <c r="E78" s="7"/>
      <c r="F78" s="7"/>
      <c r="G78" s="7"/>
      <c r="H78" s="7"/>
      <c r="I78" s="7"/>
      <c r="J78" s="20"/>
      <c r="K78" s="49">
        <v>100000</v>
      </c>
      <c r="L78" s="23"/>
      <c r="M78" s="7"/>
      <c r="N78" s="7"/>
      <c r="O78" s="7"/>
      <c r="P78" s="7"/>
      <c r="Q78" s="7"/>
      <c r="R78" s="7"/>
      <c r="S78" s="81">
        <f>(Table1435[[#This Row],[Commercial Bid Price per case for NOI ($)]]-Table1435[[#This Row],[Pass-Thru Value per case ($)]])+Table1435[[#This Row],[Region 1: Fixed Fee Per Case ($)]]</f>
        <v>0</v>
      </c>
      <c r="T78" s="77" t="e">
        <f>(Table1435[[#This Row],[Commercial Bid Price per case for NOI ($)]]+Table1435[[#This Row],[Region 1: Fixed Fee Per Case ($)]])/Table1435[[#This Row],['# of CN Servings per case]]</f>
        <v>#DIV/0!</v>
      </c>
      <c r="U78" s="77" t="e">
        <f>Table1435[[#This Row],[Total Cost Per Serving (O+P)/J]]*Table1435[[#This Row],[Estimated Servings Annual]]</f>
        <v>#DIV/0!</v>
      </c>
      <c r="V78" s="81">
        <f>(Table1435[[#This Row],[Commercial Bid Price per case for NOI ($)]]-Table1435[[#This Row],[Pass-Thru Value per case ($)]])+Table1435[[#This Row],[Region 2: Fixed Fee Per Case ($)]]</f>
        <v>0</v>
      </c>
      <c r="W78" s="77" t="e">
        <f>(Table1435[[#This Row],[Commercial Bid Price per case for NOI ($)]]+Table1435[[#This Row],[Region 2: Fixed Fee Per Case ($)]])/Table1435[[#This Row],['# of CN Servings per case]]</f>
        <v>#DIV/0!</v>
      </c>
      <c r="X78" s="82" t="e">
        <f>Table1435[[#This Row],[Total Cost Per Serving (O+Q)/J]]*Table1435[[#This Row],[Estimated Servings Annual]]</f>
        <v>#DIV/0!</v>
      </c>
    </row>
    <row r="79" spans="1:24" x14ac:dyDescent="0.35">
      <c r="A79" s="30" t="s">
        <v>49</v>
      </c>
      <c r="B79" s="39" t="s">
        <v>41</v>
      </c>
      <c r="C79" s="7" t="s">
        <v>13</v>
      </c>
      <c r="D79" s="7"/>
      <c r="E79" s="7"/>
      <c r="F79" s="7"/>
      <c r="G79" s="7"/>
      <c r="H79" s="7"/>
      <c r="I79" s="7"/>
      <c r="J79" s="20"/>
      <c r="K79" s="49">
        <v>100000</v>
      </c>
      <c r="L79" s="23"/>
      <c r="M79" s="7"/>
      <c r="N79" s="7"/>
      <c r="O79" s="7"/>
      <c r="P79" s="7"/>
      <c r="Q79" s="7"/>
      <c r="R79" s="7"/>
      <c r="S79" s="81">
        <f>(Table1435[[#This Row],[Commercial Bid Price per case for NOI ($)]]-Table1435[[#This Row],[Pass-Thru Value per case ($)]])+Table1435[[#This Row],[Region 1: Fixed Fee Per Case ($)]]</f>
        <v>0</v>
      </c>
      <c r="T79" s="77" t="e">
        <f>(Table1435[[#This Row],[Commercial Bid Price per case for NOI ($)]]+Table1435[[#This Row],[Region 1: Fixed Fee Per Case ($)]])/Table1435[[#This Row],['# of CN Servings per case]]</f>
        <v>#DIV/0!</v>
      </c>
      <c r="U79" s="77" t="e">
        <f>Table1435[[#This Row],[Total Cost Per Serving (O+P)/J]]*Table1435[[#This Row],[Estimated Servings Annual]]</f>
        <v>#DIV/0!</v>
      </c>
      <c r="V79" s="81">
        <f>(Table1435[[#This Row],[Commercial Bid Price per case for NOI ($)]]-Table1435[[#This Row],[Pass-Thru Value per case ($)]])+Table1435[[#This Row],[Region 2: Fixed Fee Per Case ($)]]</f>
        <v>0</v>
      </c>
      <c r="W79" s="77" t="e">
        <f>(Table1435[[#This Row],[Commercial Bid Price per case for NOI ($)]]+Table1435[[#This Row],[Region 2: Fixed Fee Per Case ($)]])/Table1435[[#This Row],['# of CN Servings per case]]</f>
        <v>#DIV/0!</v>
      </c>
      <c r="X79" s="82" t="e">
        <f>Table1435[[#This Row],[Total Cost Per Serving (O+Q)/J]]*Table1435[[#This Row],[Estimated Servings Annual]]</f>
        <v>#DIV/0!</v>
      </c>
    </row>
    <row r="80" spans="1:24" x14ac:dyDescent="0.35">
      <c r="A80" s="30" t="s">
        <v>49</v>
      </c>
      <c r="B80" s="39" t="s">
        <v>41</v>
      </c>
      <c r="C80" s="7" t="s">
        <v>13</v>
      </c>
      <c r="D80" s="7"/>
      <c r="E80" s="7"/>
      <c r="F80" s="7"/>
      <c r="G80" s="7"/>
      <c r="H80" s="7"/>
      <c r="I80" s="7"/>
      <c r="J80" s="20"/>
      <c r="K80" s="49">
        <v>100000</v>
      </c>
      <c r="L80" s="23"/>
      <c r="M80" s="7"/>
      <c r="N80" s="7"/>
      <c r="O80" s="7"/>
      <c r="P80" s="7"/>
      <c r="Q80" s="7"/>
      <c r="R80" s="7"/>
      <c r="S80" s="81">
        <f>(Table1435[[#This Row],[Commercial Bid Price per case for NOI ($)]]-Table1435[[#This Row],[Pass-Thru Value per case ($)]])+Table1435[[#This Row],[Region 1: Fixed Fee Per Case ($)]]</f>
        <v>0</v>
      </c>
      <c r="T80" s="77" t="e">
        <f>(Table1435[[#This Row],[Commercial Bid Price per case for NOI ($)]]+Table1435[[#This Row],[Region 1: Fixed Fee Per Case ($)]])/Table1435[[#This Row],['# of CN Servings per case]]</f>
        <v>#DIV/0!</v>
      </c>
      <c r="U80" s="77" t="e">
        <f>Table1435[[#This Row],[Total Cost Per Serving (O+P)/J]]*Table1435[[#This Row],[Estimated Servings Annual]]</f>
        <v>#DIV/0!</v>
      </c>
      <c r="V80" s="81">
        <f>(Table1435[[#This Row],[Commercial Bid Price per case for NOI ($)]]-Table1435[[#This Row],[Pass-Thru Value per case ($)]])+Table1435[[#This Row],[Region 2: Fixed Fee Per Case ($)]]</f>
        <v>0</v>
      </c>
      <c r="W80" s="77" t="e">
        <f>(Table1435[[#This Row],[Commercial Bid Price per case for NOI ($)]]+Table1435[[#This Row],[Region 2: Fixed Fee Per Case ($)]])/Table1435[[#This Row],['# of CN Servings per case]]</f>
        <v>#DIV/0!</v>
      </c>
      <c r="X80" s="82" t="e">
        <f>Table1435[[#This Row],[Total Cost Per Serving (O+Q)/J]]*Table1435[[#This Row],[Estimated Servings Annual]]</f>
        <v>#DIV/0!</v>
      </c>
    </row>
    <row r="81" spans="1:24" x14ac:dyDescent="0.35">
      <c r="A81" s="30" t="s">
        <v>49</v>
      </c>
      <c r="B81" s="39" t="s">
        <v>41</v>
      </c>
      <c r="C81" s="7" t="s">
        <v>13</v>
      </c>
      <c r="D81" s="7"/>
      <c r="E81" s="7"/>
      <c r="F81" s="7"/>
      <c r="G81" s="7"/>
      <c r="H81" s="7"/>
      <c r="I81" s="7"/>
      <c r="J81" s="20"/>
      <c r="K81" s="49">
        <v>100000</v>
      </c>
      <c r="L81" s="23"/>
      <c r="M81" s="7"/>
      <c r="N81" s="7"/>
      <c r="O81" s="7"/>
      <c r="P81" s="7"/>
      <c r="Q81" s="7"/>
      <c r="R81" s="7"/>
      <c r="S81" s="81">
        <f>(Table1435[[#This Row],[Commercial Bid Price per case for NOI ($)]]-Table1435[[#This Row],[Pass-Thru Value per case ($)]])+Table1435[[#This Row],[Region 1: Fixed Fee Per Case ($)]]</f>
        <v>0</v>
      </c>
      <c r="T81" s="77" t="e">
        <f>(Table1435[[#This Row],[Commercial Bid Price per case for NOI ($)]]+Table1435[[#This Row],[Region 1: Fixed Fee Per Case ($)]])/Table1435[[#This Row],['# of CN Servings per case]]</f>
        <v>#DIV/0!</v>
      </c>
      <c r="U81" s="77" t="e">
        <f>Table1435[[#This Row],[Total Cost Per Serving (O+P)/J]]*Table1435[[#This Row],[Estimated Servings Annual]]</f>
        <v>#DIV/0!</v>
      </c>
      <c r="V81" s="81">
        <f>(Table1435[[#This Row],[Commercial Bid Price per case for NOI ($)]]-Table1435[[#This Row],[Pass-Thru Value per case ($)]])+Table1435[[#This Row],[Region 2: Fixed Fee Per Case ($)]]</f>
        <v>0</v>
      </c>
      <c r="W81" s="77" t="e">
        <f>(Table1435[[#This Row],[Commercial Bid Price per case for NOI ($)]]+Table1435[[#This Row],[Region 2: Fixed Fee Per Case ($)]])/Table1435[[#This Row],['# of CN Servings per case]]</f>
        <v>#DIV/0!</v>
      </c>
      <c r="X81" s="82" t="e">
        <f>Table1435[[#This Row],[Total Cost Per Serving (O+Q)/J]]*Table1435[[#This Row],[Estimated Servings Annual]]</f>
        <v>#DIV/0!</v>
      </c>
    </row>
    <row r="82" spans="1:24" ht="15" thickBot="1" x14ac:dyDescent="0.4">
      <c r="A82" s="30" t="s">
        <v>49</v>
      </c>
      <c r="B82" s="40" t="s">
        <v>41</v>
      </c>
      <c r="C82" s="8" t="s">
        <v>13</v>
      </c>
      <c r="D82" s="8"/>
      <c r="E82" s="8"/>
      <c r="F82" s="8"/>
      <c r="G82" s="8"/>
      <c r="H82" s="8"/>
      <c r="I82" s="8"/>
      <c r="J82" s="21"/>
      <c r="K82" s="50">
        <v>100000</v>
      </c>
      <c r="L82" s="24"/>
      <c r="M82" s="8"/>
      <c r="N82" s="8"/>
      <c r="O82" s="8"/>
      <c r="P82" s="8"/>
      <c r="Q82" s="8"/>
      <c r="R82" s="8"/>
      <c r="S82" s="83">
        <f>(Table1435[[#This Row],[Commercial Bid Price per case for NOI ($)]]-Table1435[[#This Row],[Pass-Thru Value per case ($)]])+Table1435[[#This Row],[Region 1: Fixed Fee Per Case ($)]]</f>
        <v>0</v>
      </c>
      <c r="T82" s="78" t="e">
        <f>(Table1435[[#This Row],[Commercial Bid Price per case for NOI ($)]]+Table1435[[#This Row],[Region 1: Fixed Fee Per Case ($)]])/Table1435[[#This Row],['# of CN Servings per case]]</f>
        <v>#DIV/0!</v>
      </c>
      <c r="U82" s="78" t="e">
        <f>Table1435[[#This Row],[Total Cost Per Serving (O+P)/J]]*Table1435[[#This Row],[Estimated Servings Annual]]</f>
        <v>#DIV/0!</v>
      </c>
      <c r="V82" s="83">
        <f>(Table1435[[#This Row],[Commercial Bid Price per case for NOI ($)]]-Table1435[[#This Row],[Pass-Thru Value per case ($)]])+Table1435[[#This Row],[Region 2: Fixed Fee Per Case ($)]]</f>
        <v>0</v>
      </c>
      <c r="W82" s="78" t="e">
        <f>(Table1435[[#This Row],[Commercial Bid Price per case for NOI ($)]]+Table1435[[#This Row],[Region 2: Fixed Fee Per Case ($)]])/Table1435[[#This Row],['# of CN Servings per case]]</f>
        <v>#DIV/0!</v>
      </c>
      <c r="X82" s="84" t="e">
        <f>Table1435[[#This Row],[Total Cost Per Serving (O+Q)/J]]*Table1435[[#This Row],[Estimated Servings Annual]]</f>
        <v>#DIV/0!</v>
      </c>
    </row>
  </sheetData>
  <sheetProtection algorithmName="SHA-512" hashValue="IBNZwJJRmO5SpPjk6TDXFymooiFK6QU9q75D26rAVOxUMR2ekoxxGCz2FXIE/LeKwNnNKHT9QCpKZpkhrnGsng==" saltValue="9q6FuoTkGXCvUCpfEc2sSg==" spinCount="100000" sheet="1" objects="1" scenarios="1" formatCells="0" formatColumns="0"/>
  <mergeCells count="3">
    <mergeCell ref="E1:G1"/>
    <mergeCell ref="S1:U1"/>
    <mergeCell ref="V1:X1"/>
  </mergeCell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4EA67-7A9E-4B84-958C-871EE472977E}">
  <sheetPr codeName="Sheet6"/>
  <dimension ref="A1:X34"/>
  <sheetViews>
    <sheetView workbookViewId="0">
      <pane xSplit="3" ySplit="2" topLeftCell="D3" activePane="bottomRight" state="frozen"/>
      <selection activeCell="A24" sqref="A24"/>
      <selection pane="topRight" activeCell="A24" sqref="A24"/>
      <selection pane="bottomLeft" activeCell="A24" sqref="A24"/>
      <selection pane="bottomRight" activeCell="A24" sqref="A24"/>
    </sheetView>
  </sheetViews>
  <sheetFormatPr defaultColWidth="11" defaultRowHeight="14.5" x14ac:dyDescent="0.35"/>
  <cols>
    <col min="1" max="1" width="10.7265625" style="9" bestFit="1" customWidth="1"/>
    <col min="2" max="2" width="17" style="9" bestFit="1" customWidth="1"/>
    <col min="3" max="3" width="24.54296875" style="9" bestFit="1" customWidth="1"/>
    <col min="4" max="4" width="20.81640625" style="9" bestFit="1" customWidth="1"/>
    <col min="5" max="5" width="26.26953125" style="9" bestFit="1" customWidth="1"/>
    <col min="6" max="6" width="12.90625" style="9" bestFit="1" customWidth="1"/>
    <col min="7" max="7" width="15" style="9" bestFit="1" customWidth="1"/>
    <col min="8" max="8" width="14.54296875" style="9" bestFit="1" customWidth="1"/>
    <col min="9" max="9" width="9.54296875" style="9" bestFit="1" customWidth="1"/>
    <col min="10" max="10" width="13.6328125" style="63" bestFit="1" customWidth="1"/>
    <col min="11" max="11" width="11.7265625" style="9" bestFit="1" customWidth="1"/>
    <col min="12" max="12" width="10.453125" style="9" bestFit="1" customWidth="1"/>
    <col min="13" max="13" width="14.26953125" style="9" bestFit="1" customWidth="1"/>
    <col min="14" max="14" width="11.453125" style="9" bestFit="1" customWidth="1"/>
    <col min="15" max="15" width="17.81640625" style="9" bestFit="1" customWidth="1"/>
    <col min="16" max="17" width="16.90625" style="9" bestFit="1" customWidth="1"/>
    <col min="18" max="18" width="14.54296875" style="9" bestFit="1" customWidth="1"/>
    <col min="19" max="19" width="14.1796875" style="9" bestFit="1" customWidth="1"/>
    <col min="20" max="20" width="16.36328125" style="9" bestFit="1" customWidth="1"/>
    <col min="21" max="21" width="11.54296875" style="9" bestFit="1" customWidth="1"/>
    <col min="22" max="22" width="14.1796875" style="9" bestFit="1" customWidth="1"/>
    <col min="23" max="23" width="16.6328125" style="9" bestFit="1" customWidth="1"/>
    <col min="24" max="24" width="11.54296875" style="9" bestFit="1" customWidth="1"/>
    <col min="25" max="16384" width="11" style="9"/>
  </cols>
  <sheetData>
    <row r="1" spans="1:24" x14ac:dyDescent="0.35">
      <c r="D1" s="10" t="s">
        <v>63</v>
      </c>
      <c r="E1" s="97">
        <f>Instructions!A2</f>
        <v>0</v>
      </c>
      <c r="F1" s="97"/>
      <c r="G1" s="97"/>
      <c r="S1" s="98" t="s">
        <v>72</v>
      </c>
      <c r="T1" s="99"/>
      <c r="U1" s="100"/>
      <c r="V1" s="101" t="s">
        <v>73</v>
      </c>
      <c r="W1" s="102"/>
      <c r="X1" s="102"/>
    </row>
    <row r="2" spans="1:24" s="10" customFormat="1" ht="58.5" thickBot="1" x14ac:dyDescent="0.4">
      <c r="A2" s="10" t="s">
        <v>14</v>
      </c>
      <c r="B2" s="10" t="s">
        <v>3</v>
      </c>
      <c r="C2" s="10" t="s">
        <v>23</v>
      </c>
      <c r="D2" s="10" t="s">
        <v>66</v>
      </c>
      <c r="E2" s="10" t="s">
        <v>182</v>
      </c>
      <c r="F2" s="10" t="s">
        <v>0</v>
      </c>
      <c r="G2" s="10" t="s">
        <v>4</v>
      </c>
      <c r="H2" s="10" t="s">
        <v>20</v>
      </c>
      <c r="I2" s="10" t="s">
        <v>1</v>
      </c>
      <c r="J2" s="10" t="s">
        <v>5</v>
      </c>
      <c r="K2" s="18" t="s">
        <v>6</v>
      </c>
      <c r="L2" s="10" t="s">
        <v>2</v>
      </c>
      <c r="M2" s="10" t="s">
        <v>21</v>
      </c>
      <c r="N2" s="10" t="s">
        <v>65</v>
      </c>
      <c r="O2" s="10" t="s">
        <v>22</v>
      </c>
      <c r="P2" s="10" t="s">
        <v>70</v>
      </c>
      <c r="Q2" s="10" t="s">
        <v>71</v>
      </c>
      <c r="R2" s="10" t="s">
        <v>19</v>
      </c>
      <c r="S2" s="64" t="s">
        <v>77</v>
      </c>
      <c r="T2" s="65" t="s">
        <v>79</v>
      </c>
      <c r="U2" s="66" t="s">
        <v>80</v>
      </c>
      <c r="V2" s="64" t="s">
        <v>78</v>
      </c>
      <c r="W2" s="65" t="s">
        <v>81</v>
      </c>
      <c r="X2" s="66" t="s">
        <v>82</v>
      </c>
    </row>
    <row r="3" spans="1:24" x14ac:dyDescent="0.35">
      <c r="A3" s="29" t="s">
        <v>32</v>
      </c>
      <c r="B3" s="42" t="s">
        <v>33</v>
      </c>
      <c r="C3" s="6" t="s">
        <v>115</v>
      </c>
      <c r="D3" s="6"/>
      <c r="E3" s="6"/>
      <c r="F3" s="6"/>
      <c r="G3" s="6"/>
      <c r="H3" s="6"/>
      <c r="I3" s="6"/>
      <c r="J3" s="6"/>
      <c r="K3" s="48">
        <v>750000</v>
      </c>
      <c r="L3" s="6"/>
      <c r="M3" s="6"/>
      <c r="N3" s="6"/>
      <c r="O3" s="6"/>
      <c r="P3" s="6"/>
      <c r="Q3" s="6"/>
      <c r="R3" s="6"/>
      <c r="S3" s="67">
        <f>(Table14356[[#This Row],[Commercial Bid Price per case for NOI ($)]]-Table14356[[#This Row],[Pass-Thru Value per case ($)]])+Table14356[[#This Row],[Region 1: Fixed Fee Per Case ($)]]</f>
        <v>0</v>
      </c>
      <c r="T3" s="68" t="e">
        <f>(Table14356[[#This Row],[Commercial Bid Price per case for NOI ($)]]+Table14356[[#This Row],[Region 1: Fixed Fee Per Case ($)]])/Table14356[[#This Row],['# of CN Servings per case]]</f>
        <v>#DIV/0!</v>
      </c>
      <c r="U3" s="68" t="e">
        <f>Table14356[[#This Row],[Total Cost Per Serving (O+P)/J]]*Table14356[[#This Row],[Estimated Servings Annual]]</f>
        <v>#DIV/0!</v>
      </c>
      <c r="V3" s="67">
        <f>(Table14356[[#This Row],[Commercial Bid Price per case for NOI ($)]]-Table14356[[#This Row],[Pass-Thru Value per case ($)]])+Table14356[[#This Row],[Region 2: Fixed Fee Per Case ($)]]</f>
        <v>0</v>
      </c>
      <c r="W3" s="68" t="e">
        <f>(Table14356[[#This Row],[Commercial Bid Price per case for NOI ($)]]+Table14356[[#This Row],[Region 2: Fixed Fee Per Case ($)]])/Table14356[[#This Row],['# of CN Servings per case]]</f>
        <v>#DIV/0!</v>
      </c>
      <c r="X3" s="69" t="e">
        <f>Table14356[[#This Row],[Total Cost Per Serving (O+Q)/J]]*Table14356[[#This Row],[Estimated Servings Annual]]</f>
        <v>#DIV/0!</v>
      </c>
    </row>
    <row r="4" spans="1:24" x14ac:dyDescent="0.35">
      <c r="A4" s="30" t="s">
        <v>32</v>
      </c>
      <c r="B4" s="28" t="s">
        <v>33</v>
      </c>
      <c r="C4" s="7" t="s">
        <v>115</v>
      </c>
      <c r="D4" s="7"/>
      <c r="E4" s="7"/>
      <c r="F4" s="7"/>
      <c r="G4" s="7"/>
      <c r="H4" s="7"/>
      <c r="I4" s="7"/>
      <c r="J4" s="7"/>
      <c r="K4" s="49">
        <v>750000</v>
      </c>
      <c r="L4" s="7"/>
      <c r="M4" s="7"/>
      <c r="N4" s="7"/>
      <c r="O4" s="7"/>
      <c r="P4" s="7"/>
      <c r="Q4" s="7"/>
      <c r="R4" s="7"/>
      <c r="S4" s="70">
        <f>(Table14356[[#This Row],[Commercial Bid Price per case for NOI ($)]]-Table14356[[#This Row],[Pass-Thru Value per case ($)]])+Table14356[[#This Row],[Region 1: Fixed Fee Per Case ($)]]</f>
        <v>0</v>
      </c>
      <c r="T4" s="71" t="e">
        <f>(Table14356[[#This Row],[Commercial Bid Price per case for NOI ($)]]+Table14356[[#This Row],[Region 1: Fixed Fee Per Case ($)]])/Table14356[[#This Row],['# of CN Servings per case]]</f>
        <v>#DIV/0!</v>
      </c>
      <c r="U4" s="71" t="e">
        <f>Table14356[[#This Row],[Total Cost Per Serving (O+P)/J]]*Table14356[[#This Row],[Estimated Servings Annual]]</f>
        <v>#DIV/0!</v>
      </c>
      <c r="V4" s="70">
        <f>(Table14356[[#This Row],[Commercial Bid Price per case for NOI ($)]]-Table14356[[#This Row],[Pass-Thru Value per case ($)]])+Table14356[[#This Row],[Region 2: Fixed Fee Per Case ($)]]</f>
        <v>0</v>
      </c>
      <c r="W4" s="71" t="e">
        <f>(Table14356[[#This Row],[Commercial Bid Price per case for NOI ($)]]+Table14356[[#This Row],[Region 2: Fixed Fee Per Case ($)]])/Table14356[[#This Row],['# of CN Servings per case]]</f>
        <v>#DIV/0!</v>
      </c>
      <c r="X4" s="72" t="e">
        <f>Table14356[[#This Row],[Total Cost Per Serving (O+Q)/J]]*Table14356[[#This Row],[Estimated Servings Annual]]</f>
        <v>#DIV/0!</v>
      </c>
    </row>
    <row r="5" spans="1:24" x14ac:dyDescent="0.35">
      <c r="A5" s="30" t="s">
        <v>32</v>
      </c>
      <c r="B5" s="28" t="s">
        <v>33</v>
      </c>
      <c r="C5" s="7" t="s">
        <v>116</v>
      </c>
      <c r="D5" s="7"/>
      <c r="E5" s="7"/>
      <c r="F5" s="7"/>
      <c r="G5" s="7"/>
      <c r="H5" s="7"/>
      <c r="I5" s="7"/>
      <c r="J5" s="7"/>
      <c r="K5" s="49">
        <v>750000</v>
      </c>
      <c r="L5" s="7"/>
      <c r="M5" s="7"/>
      <c r="N5" s="7"/>
      <c r="O5" s="7"/>
      <c r="P5" s="7"/>
      <c r="Q5" s="7"/>
      <c r="R5" s="7"/>
      <c r="S5" s="70">
        <f>(Table14356[[#This Row],[Commercial Bid Price per case for NOI ($)]]-Table14356[[#This Row],[Pass-Thru Value per case ($)]])+Table14356[[#This Row],[Region 1: Fixed Fee Per Case ($)]]</f>
        <v>0</v>
      </c>
      <c r="T5" s="71" t="e">
        <f>(Table14356[[#This Row],[Commercial Bid Price per case for NOI ($)]]+Table14356[[#This Row],[Region 1: Fixed Fee Per Case ($)]])/Table14356[[#This Row],['# of CN Servings per case]]</f>
        <v>#DIV/0!</v>
      </c>
      <c r="U5" s="71" t="e">
        <f>Table14356[[#This Row],[Total Cost Per Serving (O+P)/J]]*Table14356[[#This Row],[Estimated Servings Annual]]</f>
        <v>#DIV/0!</v>
      </c>
      <c r="V5" s="70">
        <f>(Table14356[[#This Row],[Commercial Bid Price per case for NOI ($)]]-Table14356[[#This Row],[Pass-Thru Value per case ($)]])+Table14356[[#This Row],[Region 2: Fixed Fee Per Case ($)]]</f>
        <v>0</v>
      </c>
      <c r="W5" s="71" t="e">
        <f>(Table14356[[#This Row],[Commercial Bid Price per case for NOI ($)]]+Table14356[[#This Row],[Region 2: Fixed Fee Per Case ($)]])/Table14356[[#This Row],['# of CN Servings per case]]</f>
        <v>#DIV/0!</v>
      </c>
      <c r="X5" s="72" t="e">
        <f>Table14356[[#This Row],[Total Cost Per Serving (O+Q)/J]]*Table14356[[#This Row],[Estimated Servings Annual]]</f>
        <v>#DIV/0!</v>
      </c>
    </row>
    <row r="6" spans="1:24" x14ac:dyDescent="0.35">
      <c r="A6" s="30" t="s">
        <v>32</v>
      </c>
      <c r="B6" s="28" t="s">
        <v>33</v>
      </c>
      <c r="C6" s="7" t="s">
        <v>116</v>
      </c>
      <c r="D6" s="7"/>
      <c r="E6" s="7"/>
      <c r="F6" s="7"/>
      <c r="G6" s="7"/>
      <c r="H6" s="7"/>
      <c r="I6" s="7"/>
      <c r="J6" s="7"/>
      <c r="K6" s="49">
        <v>750000</v>
      </c>
      <c r="L6" s="7"/>
      <c r="M6" s="7"/>
      <c r="N6" s="7"/>
      <c r="O6" s="7"/>
      <c r="P6" s="7"/>
      <c r="Q6" s="7"/>
      <c r="R6" s="7"/>
      <c r="S6" s="70">
        <f>(Table14356[[#This Row],[Commercial Bid Price per case for NOI ($)]]-Table14356[[#This Row],[Pass-Thru Value per case ($)]])+Table14356[[#This Row],[Region 1: Fixed Fee Per Case ($)]]</f>
        <v>0</v>
      </c>
      <c r="T6" s="71" t="e">
        <f>(Table14356[[#This Row],[Commercial Bid Price per case for NOI ($)]]+Table14356[[#This Row],[Region 1: Fixed Fee Per Case ($)]])/Table14356[[#This Row],['# of CN Servings per case]]</f>
        <v>#DIV/0!</v>
      </c>
      <c r="U6" s="71" t="e">
        <f>Table14356[[#This Row],[Total Cost Per Serving (O+P)/J]]*Table14356[[#This Row],[Estimated Servings Annual]]</f>
        <v>#DIV/0!</v>
      </c>
      <c r="V6" s="70">
        <f>(Table14356[[#This Row],[Commercial Bid Price per case for NOI ($)]]-Table14356[[#This Row],[Pass-Thru Value per case ($)]])+Table14356[[#This Row],[Region 2: Fixed Fee Per Case ($)]]</f>
        <v>0</v>
      </c>
      <c r="W6" s="71" t="e">
        <f>(Table14356[[#This Row],[Commercial Bid Price per case for NOI ($)]]+Table14356[[#This Row],[Region 2: Fixed Fee Per Case ($)]])/Table14356[[#This Row],['# of CN Servings per case]]</f>
        <v>#DIV/0!</v>
      </c>
      <c r="X6" s="72" t="e">
        <f>Table14356[[#This Row],[Total Cost Per Serving (O+Q)/J]]*Table14356[[#This Row],[Estimated Servings Annual]]</f>
        <v>#DIV/0!</v>
      </c>
    </row>
    <row r="7" spans="1:24" x14ac:dyDescent="0.35">
      <c r="A7" s="30" t="s">
        <v>32</v>
      </c>
      <c r="B7" s="28" t="s">
        <v>33</v>
      </c>
      <c r="C7" s="7" t="s">
        <v>13</v>
      </c>
      <c r="D7" s="7"/>
      <c r="E7" s="7"/>
      <c r="F7" s="7"/>
      <c r="G7" s="7"/>
      <c r="H7" s="7"/>
      <c r="I7" s="7"/>
      <c r="J7" s="7"/>
      <c r="K7" s="49">
        <v>750000</v>
      </c>
      <c r="L7" s="7"/>
      <c r="M7" s="7"/>
      <c r="N7" s="7"/>
      <c r="O7" s="7"/>
      <c r="P7" s="7"/>
      <c r="Q7" s="7"/>
      <c r="R7" s="7"/>
      <c r="S7" s="70">
        <f>(Table14356[[#This Row],[Commercial Bid Price per case for NOI ($)]]-Table14356[[#This Row],[Pass-Thru Value per case ($)]])+Table14356[[#This Row],[Region 1: Fixed Fee Per Case ($)]]</f>
        <v>0</v>
      </c>
      <c r="T7" s="71" t="e">
        <f>(Table14356[[#This Row],[Commercial Bid Price per case for NOI ($)]]+Table14356[[#This Row],[Region 1: Fixed Fee Per Case ($)]])/Table14356[[#This Row],['# of CN Servings per case]]</f>
        <v>#DIV/0!</v>
      </c>
      <c r="U7" s="71" t="e">
        <f>Table14356[[#This Row],[Total Cost Per Serving (O+P)/J]]*Table14356[[#This Row],[Estimated Servings Annual]]</f>
        <v>#DIV/0!</v>
      </c>
      <c r="V7" s="70">
        <f>(Table14356[[#This Row],[Commercial Bid Price per case for NOI ($)]]-Table14356[[#This Row],[Pass-Thru Value per case ($)]])+Table14356[[#This Row],[Region 2: Fixed Fee Per Case ($)]]</f>
        <v>0</v>
      </c>
      <c r="W7" s="71" t="e">
        <f>(Table14356[[#This Row],[Commercial Bid Price per case for NOI ($)]]+Table14356[[#This Row],[Region 2: Fixed Fee Per Case ($)]])/Table14356[[#This Row],['# of CN Servings per case]]</f>
        <v>#DIV/0!</v>
      </c>
      <c r="X7" s="72" t="e">
        <f>Table14356[[#This Row],[Total Cost Per Serving (O+Q)/J]]*Table14356[[#This Row],[Estimated Servings Annual]]</f>
        <v>#DIV/0!</v>
      </c>
    </row>
    <row r="8" spans="1:24" x14ac:dyDescent="0.35">
      <c r="A8" s="30" t="s">
        <v>32</v>
      </c>
      <c r="B8" s="28" t="s">
        <v>33</v>
      </c>
      <c r="C8" s="7" t="s">
        <v>13</v>
      </c>
      <c r="D8" s="7"/>
      <c r="E8" s="7"/>
      <c r="F8" s="7"/>
      <c r="G8" s="7"/>
      <c r="H8" s="7"/>
      <c r="I8" s="7"/>
      <c r="J8" s="7"/>
      <c r="K8" s="49">
        <v>750000</v>
      </c>
      <c r="L8" s="7"/>
      <c r="M8" s="7"/>
      <c r="N8" s="7"/>
      <c r="O8" s="7"/>
      <c r="P8" s="7"/>
      <c r="Q8" s="7"/>
      <c r="R8" s="7"/>
      <c r="S8" s="70">
        <f>(Table14356[[#This Row],[Commercial Bid Price per case for NOI ($)]]-Table14356[[#This Row],[Pass-Thru Value per case ($)]])+Table14356[[#This Row],[Region 1: Fixed Fee Per Case ($)]]</f>
        <v>0</v>
      </c>
      <c r="T8" s="71" t="e">
        <f>(Table14356[[#This Row],[Commercial Bid Price per case for NOI ($)]]+Table14356[[#This Row],[Region 1: Fixed Fee Per Case ($)]])/Table14356[[#This Row],['# of CN Servings per case]]</f>
        <v>#DIV/0!</v>
      </c>
      <c r="U8" s="71" t="e">
        <f>Table14356[[#This Row],[Total Cost Per Serving (O+P)/J]]*Table14356[[#This Row],[Estimated Servings Annual]]</f>
        <v>#DIV/0!</v>
      </c>
      <c r="V8" s="70">
        <f>(Table14356[[#This Row],[Commercial Bid Price per case for NOI ($)]]-Table14356[[#This Row],[Pass-Thru Value per case ($)]])+Table14356[[#This Row],[Region 2: Fixed Fee Per Case ($)]]</f>
        <v>0</v>
      </c>
      <c r="W8" s="71" t="e">
        <f>(Table14356[[#This Row],[Commercial Bid Price per case for NOI ($)]]+Table14356[[#This Row],[Region 2: Fixed Fee Per Case ($)]])/Table14356[[#This Row],['# of CN Servings per case]]</f>
        <v>#DIV/0!</v>
      </c>
      <c r="X8" s="72" t="e">
        <f>Table14356[[#This Row],[Total Cost Per Serving (O+Q)/J]]*Table14356[[#This Row],[Estimated Servings Annual]]</f>
        <v>#DIV/0!</v>
      </c>
    </row>
    <row r="9" spans="1:24" x14ac:dyDescent="0.35">
      <c r="A9" s="30" t="s">
        <v>32</v>
      </c>
      <c r="B9" s="28" t="s">
        <v>33</v>
      </c>
      <c r="C9" s="7" t="s">
        <v>13</v>
      </c>
      <c r="D9" s="7"/>
      <c r="E9" s="7"/>
      <c r="F9" s="7"/>
      <c r="G9" s="7"/>
      <c r="H9" s="7"/>
      <c r="I9" s="7"/>
      <c r="J9" s="7"/>
      <c r="K9" s="49">
        <v>750000</v>
      </c>
      <c r="L9" s="7"/>
      <c r="M9" s="7"/>
      <c r="N9" s="7"/>
      <c r="O9" s="7"/>
      <c r="P9" s="7"/>
      <c r="Q9" s="7"/>
      <c r="R9" s="7"/>
      <c r="S9" s="70">
        <f>(Table14356[[#This Row],[Commercial Bid Price per case for NOI ($)]]-Table14356[[#This Row],[Pass-Thru Value per case ($)]])+Table14356[[#This Row],[Region 1: Fixed Fee Per Case ($)]]</f>
        <v>0</v>
      </c>
      <c r="T9" s="71" t="e">
        <f>(Table14356[[#This Row],[Commercial Bid Price per case for NOI ($)]]+Table14356[[#This Row],[Region 1: Fixed Fee Per Case ($)]])/Table14356[[#This Row],['# of CN Servings per case]]</f>
        <v>#DIV/0!</v>
      </c>
      <c r="U9" s="71" t="e">
        <f>Table14356[[#This Row],[Total Cost Per Serving (O+P)/J]]*Table14356[[#This Row],[Estimated Servings Annual]]</f>
        <v>#DIV/0!</v>
      </c>
      <c r="V9" s="70">
        <f>(Table14356[[#This Row],[Commercial Bid Price per case for NOI ($)]]-Table14356[[#This Row],[Pass-Thru Value per case ($)]])+Table14356[[#This Row],[Region 2: Fixed Fee Per Case ($)]]</f>
        <v>0</v>
      </c>
      <c r="W9" s="71" t="e">
        <f>(Table14356[[#This Row],[Commercial Bid Price per case for NOI ($)]]+Table14356[[#This Row],[Region 2: Fixed Fee Per Case ($)]])/Table14356[[#This Row],['# of CN Servings per case]]</f>
        <v>#DIV/0!</v>
      </c>
      <c r="X9" s="72" t="e">
        <f>Table14356[[#This Row],[Total Cost Per Serving (O+Q)/J]]*Table14356[[#This Row],[Estimated Servings Annual]]</f>
        <v>#DIV/0!</v>
      </c>
    </row>
    <row r="10" spans="1:24" ht="15" thickBot="1" x14ac:dyDescent="0.4">
      <c r="A10" s="30" t="s">
        <v>32</v>
      </c>
      <c r="B10" s="28" t="s">
        <v>33</v>
      </c>
      <c r="C10" s="8" t="s">
        <v>13</v>
      </c>
      <c r="D10" s="8"/>
      <c r="E10" s="8"/>
      <c r="F10" s="8"/>
      <c r="G10" s="8"/>
      <c r="H10" s="8"/>
      <c r="I10" s="8"/>
      <c r="J10" s="8"/>
      <c r="K10" s="49">
        <v>750000</v>
      </c>
      <c r="L10" s="8"/>
      <c r="M10" s="8"/>
      <c r="N10" s="8"/>
      <c r="O10" s="8"/>
      <c r="P10" s="8"/>
      <c r="Q10" s="8"/>
      <c r="R10" s="8"/>
      <c r="S10" s="73">
        <f>(Table14356[[#This Row],[Commercial Bid Price per case for NOI ($)]]-Table14356[[#This Row],[Pass-Thru Value per case ($)]])+Table14356[[#This Row],[Region 1: Fixed Fee Per Case ($)]]</f>
        <v>0</v>
      </c>
      <c r="T10" s="74" t="e">
        <f>(Table14356[[#This Row],[Commercial Bid Price per case for NOI ($)]]+Table14356[[#This Row],[Region 1: Fixed Fee Per Case ($)]])/Table14356[[#This Row],['# of CN Servings per case]]</f>
        <v>#DIV/0!</v>
      </c>
      <c r="U10" s="74" t="e">
        <f>Table14356[[#This Row],[Total Cost Per Serving (O+P)/J]]*Table14356[[#This Row],[Estimated Servings Annual]]</f>
        <v>#DIV/0!</v>
      </c>
      <c r="V10" s="73">
        <f>(Table14356[[#This Row],[Commercial Bid Price per case for NOI ($)]]-Table14356[[#This Row],[Pass-Thru Value per case ($)]])+Table14356[[#This Row],[Region 2: Fixed Fee Per Case ($)]]</f>
        <v>0</v>
      </c>
      <c r="W10" s="74" t="e">
        <f>(Table14356[[#This Row],[Commercial Bid Price per case for NOI ($)]]+Table14356[[#This Row],[Region 2: Fixed Fee Per Case ($)]])/Table14356[[#This Row],['# of CN Servings per case]]</f>
        <v>#DIV/0!</v>
      </c>
      <c r="X10" s="75" t="e">
        <f>Table14356[[#This Row],[Total Cost Per Serving (O+Q)/J]]*Table14356[[#This Row],[Estimated Servings Annual]]</f>
        <v>#DIV/0!</v>
      </c>
    </row>
    <row r="11" spans="1:24" x14ac:dyDescent="0.35">
      <c r="A11" s="30" t="s">
        <v>32</v>
      </c>
      <c r="B11" s="42" t="s">
        <v>113</v>
      </c>
      <c r="C11" s="6" t="s">
        <v>115</v>
      </c>
      <c r="D11" s="6"/>
      <c r="E11" s="6"/>
      <c r="F11" s="6"/>
      <c r="G11" s="6"/>
      <c r="H11" s="6"/>
      <c r="I11" s="6"/>
      <c r="J11" s="6"/>
      <c r="K11" s="48">
        <v>450000</v>
      </c>
      <c r="L11" s="6"/>
      <c r="M11" s="6"/>
      <c r="N11" s="6"/>
      <c r="O11" s="6"/>
      <c r="P11" s="6"/>
      <c r="Q11" s="6"/>
      <c r="R11" s="6"/>
      <c r="S11" s="67">
        <f>(Table14356[[#This Row],[Commercial Bid Price per case for NOI ($)]]-Table14356[[#This Row],[Pass-Thru Value per case ($)]])+Table14356[[#This Row],[Region 1: Fixed Fee Per Case ($)]]</f>
        <v>0</v>
      </c>
      <c r="T11" s="68" t="e">
        <f>(Table14356[[#This Row],[Commercial Bid Price per case for NOI ($)]]+Table14356[[#This Row],[Region 1: Fixed Fee Per Case ($)]])/Table14356[[#This Row],['# of CN Servings per case]]</f>
        <v>#DIV/0!</v>
      </c>
      <c r="U11" s="68" t="e">
        <f>Table14356[[#This Row],[Total Cost Per Serving (O+P)/J]]*Table14356[[#This Row],[Estimated Servings Annual]]</f>
        <v>#DIV/0!</v>
      </c>
      <c r="V11" s="67">
        <f>(Table14356[[#This Row],[Commercial Bid Price per case for NOI ($)]]-Table14356[[#This Row],[Pass-Thru Value per case ($)]])+Table14356[[#This Row],[Region 2: Fixed Fee Per Case ($)]]</f>
        <v>0</v>
      </c>
      <c r="W11" s="68" t="e">
        <f>(Table14356[[#This Row],[Commercial Bid Price per case for NOI ($)]]+Table14356[[#This Row],[Region 2: Fixed Fee Per Case ($)]])/Table14356[[#This Row],['# of CN Servings per case]]</f>
        <v>#DIV/0!</v>
      </c>
      <c r="X11" s="69" t="e">
        <f>Table14356[[#This Row],[Total Cost Per Serving (O+Q)/J]]*Table14356[[#This Row],[Estimated Servings Annual]]</f>
        <v>#DIV/0!</v>
      </c>
    </row>
    <row r="12" spans="1:24" x14ac:dyDescent="0.35">
      <c r="A12" s="30" t="s">
        <v>32</v>
      </c>
      <c r="B12" s="28" t="s">
        <v>113</v>
      </c>
      <c r="C12" s="7" t="s">
        <v>115</v>
      </c>
      <c r="D12" s="7"/>
      <c r="E12" s="7"/>
      <c r="F12" s="7"/>
      <c r="G12" s="7"/>
      <c r="H12" s="7"/>
      <c r="I12" s="7"/>
      <c r="J12" s="7"/>
      <c r="K12" s="49">
        <v>450000</v>
      </c>
      <c r="L12" s="7"/>
      <c r="M12" s="7"/>
      <c r="N12" s="7"/>
      <c r="O12" s="7"/>
      <c r="P12" s="7"/>
      <c r="Q12" s="7"/>
      <c r="R12" s="7"/>
      <c r="S12" s="70">
        <f>(Table14356[[#This Row],[Commercial Bid Price per case for NOI ($)]]-Table14356[[#This Row],[Pass-Thru Value per case ($)]])+Table14356[[#This Row],[Region 1: Fixed Fee Per Case ($)]]</f>
        <v>0</v>
      </c>
      <c r="T12" s="71" t="e">
        <f>(Table14356[[#This Row],[Commercial Bid Price per case for NOI ($)]]+Table14356[[#This Row],[Region 1: Fixed Fee Per Case ($)]])/Table14356[[#This Row],['# of CN Servings per case]]</f>
        <v>#DIV/0!</v>
      </c>
      <c r="U12" s="71" t="e">
        <f>Table14356[[#This Row],[Total Cost Per Serving (O+P)/J]]*Table14356[[#This Row],[Estimated Servings Annual]]</f>
        <v>#DIV/0!</v>
      </c>
      <c r="V12" s="70">
        <f>(Table14356[[#This Row],[Commercial Bid Price per case for NOI ($)]]-Table14356[[#This Row],[Pass-Thru Value per case ($)]])+Table14356[[#This Row],[Region 2: Fixed Fee Per Case ($)]]</f>
        <v>0</v>
      </c>
      <c r="W12" s="71" t="e">
        <f>(Table14356[[#This Row],[Commercial Bid Price per case for NOI ($)]]+Table14356[[#This Row],[Region 2: Fixed Fee Per Case ($)]])/Table14356[[#This Row],['# of CN Servings per case]]</f>
        <v>#DIV/0!</v>
      </c>
      <c r="X12" s="72" t="e">
        <f>Table14356[[#This Row],[Total Cost Per Serving (O+Q)/J]]*Table14356[[#This Row],[Estimated Servings Annual]]</f>
        <v>#DIV/0!</v>
      </c>
    </row>
    <row r="13" spans="1:24" x14ac:dyDescent="0.35">
      <c r="A13" s="30" t="s">
        <v>32</v>
      </c>
      <c r="B13" s="28" t="s">
        <v>113</v>
      </c>
      <c r="C13" s="7" t="s">
        <v>116</v>
      </c>
      <c r="D13" s="7"/>
      <c r="E13" s="7"/>
      <c r="F13" s="7"/>
      <c r="G13" s="7"/>
      <c r="H13" s="7"/>
      <c r="I13" s="7"/>
      <c r="J13" s="7"/>
      <c r="K13" s="49">
        <v>450000</v>
      </c>
      <c r="L13" s="7"/>
      <c r="M13" s="7"/>
      <c r="N13" s="7"/>
      <c r="O13" s="7"/>
      <c r="P13" s="7"/>
      <c r="Q13" s="7"/>
      <c r="R13" s="7"/>
      <c r="S13" s="70">
        <f>(Table14356[[#This Row],[Commercial Bid Price per case for NOI ($)]]-Table14356[[#This Row],[Pass-Thru Value per case ($)]])+Table14356[[#This Row],[Region 1: Fixed Fee Per Case ($)]]</f>
        <v>0</v>
      </c>
      <c r="T13" s="71" t="e">
        <f>(Table14356[[#This Row],[Commercial Bid Price per case for NOI ($)]]+Table14356[[#This Row],[Region 1: Fixed Fee Per Case ($)]])/Table14356[[#This Row],['# of CN Servings per case]]</f>
        <v>#DIV/0!</v>
      </c>
      <c r="U13" s="71" t="e">
        <f>Table14356[[#This Row],[Total Cost Per Serving (O+P)/J]]*Table14356[[#This Row],[Estimated Servings Annual]]</f>
        <v>#DIV/0!</v>
      </c>
      <c r="V13" s="70">
        <f>(Table14356[[#This Row],[Commercial Bid Price per case for NOI ($)]]-Table14356[[#This Row],[Pass-Thru Value per case ($)]])+Table14356[[#This Row],[Region 2: Fixed Fee Per Case ($)]]</f>
        <v>0</v>
      </c>
      <c r="W13" s="71" t="e">
        <f>(Table14356[[#This Row],[Commercial Bid Price per case for NOI ($)]]+Table14356[[#This Row],[Region 2: Fixed Fee Per Case ($)]])/Table14356[[#This Row],['# of CN Servings per case]]</f>
        <v>#DIV/0!</v>
      </c>
      <c r="X13" s="72" t="e">
        <f>Table14356[[#This Row],[Total Cost Per Serving (O+Q)/J]]*Table14356[[#This Row],[Estimated Servings Annual]]</f>
        <v>#DIV/0!</v>
      </c>
    </row>
    <row r="14" spans="1:24" x14ac:dyDescent="0.35">
      <c r="A14" s="30" t="s">
        <v>32</v>
      </c>
      <c r="B14" s="28" t="s">
        <v>113</v>
      </c>
      <c r="C14" s="7" t="s">
        <v>116</v>
      </c>
      <c r="D14" s="7"/>
      <c r="E14" s="7"/>
      <c r="F14" s="7"/>
      <c r="G14" s="7"/>
      <c r="H14" s="7"/>
      <c r="I14" s="7"/>
      <c r="J14" s="7"/>
      <c r="K14" s="49">
        <v>450000</v>
      </c>
      <c r="L14" s="7"/>
      <c r="M14" s="7"/>
      <c r="N14" s="7"/>
      <c r="O14" s="7"/>
      <c r="P14" s="7"/>
      <c r="Q14" s="7"/>
      <c r="R14" s="7"/>
      <c r="S14" s="70">
        <f>(Table14356[[#This Row],[Commercial Bid Price per case for NOI ($)]]-Table14356[[#This Row],[Pass-Thru Value per case ($)]])+Table14356[[#This Row],[Region 1: Fixed Fee Per Case ($)]]</f>
        <v>0</v>
      </c>
      <c r="T14" s="71" t="e">
        <f>(Table14356[[#This Row],[Commercial Bid Price per case for NOI ($)]]+Table14356[[#This Row],[Region 1: Fixed Fee Per Case ($)]])/Table14356[[#This Row],['# of CN Servings per case]]</f>
        <v>#DIV/0!</v>
      </c>
      <c r="U14" s="71" t="e">
        <f>Table14356[[#This Row],[Total Cost Per Serving (O+P)/J]]*Table14356[[#This Row],[Estimated Servings Annual]]</f>
        <v>#DIV/0!</v>
      </c>
      <c r="V14" s="70">
        <f>(Table14356[[#This Row],[Commercial Bid Price per case for NOI ($)]]-Table14356[[#This Row],[Pass-Thru Value per case ($)]])+Table14356[[#This Row],[Region 2: Fixed Fee Per Case ($)]]</f>
        <v>0</v>
      </c>
      <c r="W14" s="71" t="e">
        <f>(Table14356[[#This Row],[Commercial Bid Price per case for NOI ($)]]+Table14356[[#This Row],[Region 2: Fixed Fee Per Case ($)]])/Table14356[[#This Row],['# of CN Servings per case]]</f>
        <v>#DIV/0!</v>
      </c>
      <c r="X14" s="72" t="e">
        <f>Table14356[[#This Row],[Total Cost Per Serving (O+Q)/J]]*Table14356[[#This Row],[Estimated Servings Annual]]</f>
        <v>#DIV/0!</v>
      </c>
    </row>
    <row r="15" spans="1:24" x14ac:dyDescent="0.35">
      <c r="A15" s="30" t="s">
        <v>32</v>
      </c>
      <c r="B15" s="28" t="s">
        <v>113</v>
      </c>
      <c r="C15" s="7" t="s">
        <v>13</v>
      </c>
      <c r="D15" s="7"/>
      <c r="E15" s="7"/>
      <c r="F15" s="7"/>
      <c r="G15" s="7"/>
      <c r="H15" s="7"/>
      <c r="I15" s="7"/>
      <c r="J15" s="7"/>
      <c r="K15" s="49">
        <v>450000</v>
      </c>
      <c r="L15" s="7"/>
      <c r="M15" s="7"/>
      <c r="N15" s="7"/>
      <c r="O15" s="7"/>
      <c r="P15" s="7"/>
      <c r="Q15" s="7"/>
      <c r="R15" s="7"/>
      <c r="S15" s="70">
        <f>(Table14356[[#This Row],[Commercial Bid Price per case for NOI ($)]]-Table14356[[#This Row],[Pass-Thru Value per case ($)]])+Table14356[[#This Row],[Region 1: Fixed Fee Per Case ($)]]</f>
        <v>0</v>
      </c>
      <c r="T15" s="71" t="e">
        <f>(Table14356[[#This Row],[Commercial Bid Price per case for NOI ($)]]+Table14356[[#This Row],[Region 1: Fixed Fee Per Case ($)]])/Table14356[[#This Row],['# of CN Servings per case]]</f>
        <v>#DIV/0!</v>
      </c>
      <c r="U15" s="71" t="e">
        <f>Table14356[[#This Row],[Total Cost Per Serving (O+P)/J]]*Table14356[[#This Row],[Estimated Servings Annual]]</f>
        <v>#DIV/0!</v>
      </c>
      <c r="V15" s="70">
        <f>(Table14356[[#This Row],[Commercial Bid Price per case for NOI ($)]]-Table14356[[#This Row],[Pass-Thru Value per case ($)]])+Table14356[[#This Row],[Region 2: Fixed Fee Per Case ($)]]</f>
        <v>0</v>
      </c>
      <c r="W15" s="71" t="e">
        <f>(Table14356[[#This Row],[Commercial Bid Price per case for NOI ($)]]+Table14356[[#This Row],[Region 2: Fixed Fee Per Case ($)]])/Table14356[[#This Row],['# of CN Servings per case]]</f>
        <v>#DIV/0!</v>
      </c>
      <c r="X15" s="72" t="e">
        <f>Table14356[[#This Row],[Total Cost Per Serving (O+Q)/J]]*Table14356[[#This Row],[Estimated Servings Annual]]</f>
        <v>#DIV/0!</v>
      </c>
    </row>
    <row r="16" spans="1:24" x14ac:dyDescent="0.35">
      <c r="A16" s="30" t="s">
        <v>32</v>
      </c>
      <c r="B16" s="28" t="s">
        <v>113</v>
      </c>
      <c r="C16" s="7" t="s">
        <v>13</v>
      </c>
      <c r="D16" s="7"/>
      <c r="E16" s="7"/>
      <c r="F16" s="7"/>
      <c r="G16" s="7"/>
      <c r="H16" s="7"/>
      <c r="I16" s="7"/>
      <c r="J16" s="7"/>
      <c r="K16" s="49">
        <v>450000</v>
      </c>
      <c r="L16" s="7"/>
      <c r="M16" s="7"/>
      <c r="N16" s="7"/>
      <c r="O16" s="7"/>
      <c r="P16" s="7"/>
      <c r="Q16" s="7"/>
      <c r="R16" s="7"/>
      <c r="S16" s="70">
        <f>(Table14356[[#This Row],[Commercial Bid Price per case for NOI ($)]]-Table14356[[#This Row],[Pass-Thru Value per case ($)]])+Table14356[[#This Row],[Region 1: Fixed Fee Per Case ($)]]</f>
        <v>0</v>
      </c>
      <c r="T16" s="71" t="e">
        <f>(Table14356[[#This Row],[Commercial Bid Price per case for NOI ($)]]+Table14356[[#This Row],[Region 1: Fixed Fee Per Case ($)]])/Table14356[[#This Row],['# of CN Servings per case]]</f>
        <v>#DIV/0!</v>
      </c>
      <c r="U16" s="71" t="e">
        <f>Table14356[[#This Row],[Total Cost Per Serving (O+P)/J]]*Table14356[[#This Row],[Estimated Servings Annual]]</f>
        <v>#DIV/0!</v>
      </c>
      <c r="V16" s="70">
        <f>(Table14356[[#This Row],[Commercial Bid Price per case for NOI ($)]]-Table14356[[#This Row],[Pass-Thru Value per case ($)]])+Table14356[[#This Row],[Region 2: Fixed Fee Per Case ($)]]</f>
        <v>0</v>
      </c>
      <c r="W16" s="71" t="e">
        <f>(Table14356[[#This Row],[Commercial Bid Price per case for NOI ($)]]+Table14356[[#This Row],[Region 2: Fixed Fee Per Case ($)]])/Table14356[[#This Row],['# of CN Servings per case]]</f>
        <v>#DIV/0!</v>
      </c>
      <c r="X16" s="72" t="e">
        <f>Table14356[[#This Row],[Total Cost Per Serving (O+Q)/J]]*Table14356[[#This Row],[Estimated Servings Annual]]</f>
        <v>#DIV/0!</v>
      </c>
    </row>
    <row r="17" spans="1:24" x14ac:dyDescent="0.35">
      <c r="A17" s="30" t="s">
        <v>32</v>
      </c>
      <c r="B17" s="28" t="s">
        <v>113</v>
      </c>
      <c r="C17" s="7" t="s">
        <v>13</v>
      </c>
      <c r="D17" s="7"/>
      <c r="E17" s="7"/>
      <c r="F17" s="7"/>
      <c r="G17" s="7"/>
      <c r="H17" s="7"/>
      <c r="I17" s="7"/>
      <c r="J17" s="7"/>
      <c r="K17" s="49">
        <v>450000</v>
      </c>
      <c r="L17" s="7"/>
      <c r="M17" s="7"/>
      <c r="N17" s="7"/>
      <c r="O17" s="7"/>
      <c r="P17" s="7"/>
      <c r="Q17" s="7"/>
      <c r="R17" s="7"/>
      <c r="S17" s="70">
        <f>(Table14356[[#This Row],[Commercial Bid Price per case for NOI ($)]]-Table14356[[#This Row],[Pass-Thru Value per case ($)]])+Table14356[[#This Row],[Region 1: Fixed Fee Per Case ($)]]</f>
        <v>0</v>
      </c>
      <c r="T17" s="71" t="e">
        <f>(Table14356[[#This Row],[Commercial Bid Price per case for NOI ($)]]+Table14356[[#This Row],[Region 1: Fixed Fee Per Case ($)]])/Table14356[[#This Row],['# of CN Servings per case]]</f>
        <v>#DIV/0!</v>
      </c>
      <c r="U17" s="71" t="e">
        <f>Table14356[[#This Row],[Total Cost Per Serving (O+P)/J]]*Table14356[[#This Row],[Estimated Servings Annual]]</f>
        <v>#DIV/0!</v>
      </c>
      <c r="V17" s="70">
        <f>(Table14356[[#This Row],[Commercial Bid Price per case for NOI ($)]]-Table14356[[#This Row],[Pass-Thru Value per case ($)]])+Table14356[[#This Row],[Region 2: Fixed Fee Per Case ($)]]</f>
        <v>0</v>
      </c>
      <c r="W17" s="71" t="e">
        <f>(Table14356[[#This Row],[Commercial Bid Price per case for NOI ($)]]+Table14356[[#This Row],[Region 2: Fixed Fee Per Case ($)]])/Table14356[[#This Row],['# of CN Servings per case]]</f>
        <v>#DIV/0!</v>
      </c>
      <c r="X17" s="72" t="e">
        <f>Table14356[[#This Row],[Total Cost Per Serving (O+Q)/J]]*Table14356[[#This Row],[Estimated Servings Annual]]</f>
        <v>#DIV/0!</v>
      </c>
    </row>
    <row r="18" spans="1:24" ht="15" thickBot="1" x14ac:dyDescent="0.4">
      <c r="A18" s="30" t="s">
        <v>32</v>
      </c>
      <c r="B18" s="28" t="s">
        <v>113</v>
      </c>
      <c r="C18" s="8" t="s">
        <v>13</v>
      </c>
      <c r="D18" s="8"/>
      <c r="E18" s="8"/>
      <c r="F18" s="8"/>
      <c r="G18" s="8"/>
      <c r="H18" s="8"/>
      <c r="I18" s="8"/>
      <c r="J18" s="8"/>
      <c r="K18" s="49">
        <v>450000</v>
      </c>
      <c r="L18" s="8"/>
      <c r="M18" s="8"/>
      <c r="N18" s="8"/>
      <c r="O18" s="8"/>
      <c r="P18" s="8"/>
      <c r="Q18" s="8"/>
      <c r="R18" s="8"/>
      <c r="S18" s="73">
        <f>(Table14356[[#This Row],[Commercial Bid Price per case for NOI ($)]]-Table14356[[#This Row],[Pass-Thru Value per case ($)]])+Table14356[[#This Row],[Region 1: Fixed Fee Per Case ($)]]</f>
        <v>0</v>
      </c>
      <c r="T18" s="74" t="e">
        <f>(Table14356[[#This Row],[Commercial Bid Price per case for NOI ($)]]+Table14356[[#This Row],[Region 1: Fixed Fee Per Case ($)]])/Table14356[[#This Row],['# of CN Servings per case]]</f>
        <v>#DIV/0!</v>
      </c>
      <c r="U18" s="74" t="e">
        <f>Table14356[[#This Row],[Total Cost Per Serving (O+P)/J]]*Table14356[[#This Row],[Estimated Servings Annual]]</f>
        <v>#DIV/0!</v>
      </c>
      <c r="V18" s="73">
        <f>(Table14356[[#This Row],[Commercial Bid Price per case for NOI ($)]]-Table14356[[#This Row],[Pass-Thru Value per case ($)]])+Table14356[[#This Row],[Region 2: Fixed Fee Per Case ($)]]</f>
        <v>0</v>
      </c>
      <c r="W18" s="74" t="e">
        <f>(Table14356[[#This Row],[Commercial Bid Price per case for NOI ($)]]+Table14356[[#This Row],[Region 2: Fixed Fee Per Case ($)]])/Table14356[[#This Row],['# of CN Servings per case]]</f>
        <v>#DIV/0!</v>
      </c>
      <c r="X18" s="75" t="e">
        <f>Table14356[[#This Row],[Total Cost Per Serving (O+Q)/J]]*Table14356[[#This Row],[Estimated Servings Annual]]</f>
        <v>#DIV/0!</v>
      </c>
    </row>
    <row r="19" spans="1:24" x14ac:dyDescent="0.35">
      <c r="A19" s="30" t="s">
        <v>32</v>
      </c>
      <c r="B19" s="42" t="s">
        <v>34</v>
      </c>
      <c r="C19" s="6" t="s">
        <v>115</v>
      </c>
      <c r="D19" s="6"/>
      <c r="E19" s="6"/>
      <c r="F19" s="6"/>
      <c r="G19" s="6"/>
      <c r="H19" s="6"/>
      <c r="I19" s="6"/>
      <c r="J19" s="6"/>
      <c r="K19" s="48">
        <v>500000</v>
      </c>
      <c r="L19" s="6"/>
      <c r="M19" s="6"/>
      <c r="N19" s="6"/>
      <c r="O19" s="6"/>
      <c r="P19" s="6"/>
      <c r="Q19" s="6"/>
      <c r="R19" s="6"/>
      <c r="S19" s="67">
        <f>(Table14356[[#This Row],[Commercial Bid Price per case for NOI ($)]]-Table14356[[#This Row],[Pass-Thru Value per case ($)]])+Table14356[[#This Row],[Region 1: Fixed Fee Per Case ($)]]</f>
        <v>0</v>
      </c>
      <c r="T19" s="68" t="e">
        <f>(Table14356[[#This Row],[Commercial Bid Price per case for NOI ($)]]+Table14356[[#This Row],[Region 1: Fixed Fee Per Case ($)]])/Table14356[[#This Row],['# of CN Servings per case]]</f>
        <v>#DIV/0!</v>
      </c>
      <c r="U19" s="68" t="e">
        <f>Table14356[[#This Row],[Total Cost Per Serving (O+P)/J]]*Table14356[[#This Row],[Estimated Servings Annual]]</f>
        <v>#DIV/0!</v>
      </c>
      <c r="V19" s="67">
        <f>(Table14356[[#This Row],[Commercial Bid Price per case for NOI ($)]]-Table14356[[#This Row],[Pass-Thru Value per case ($)]])+Table14356[[#This Row],[Region 2: Fixed Fee Per Case ($)]]</f>
        <v>0</v>
      </c>
      <c r="W19" s="68" t="e">
        <f>(Table14356[[#This Row],[Commercial Bid Price per case for NOI ($)]]+Table14356[[#This Row],[Region 2: Fixed Fee Per Case ($)]])/Table14356[[#This Row],['# of CN Servings per case]]</f>
        <v>#DIV/0!</v>
      </c>
      <c r="X19" s="69" t="e">
        <f>Table14356[[#This Row],[Total Cost Per Serving (O+Q)/J]]*Table14356[[#This Row],[Estimated Servings Annual]]</f>
        <v>#DIV/0!</v>
      </c>
    </row>
    <row r="20" spans="1:24" x14ac:dyDescent="0.35">
      <c r="A20" s="30" t="s">
        <v>32</v>
      </c>
      <c r="B20" s="28" t="s">
        <v>34</v>
      </c>
      <c r="C20" s="7" t="s">
        <v>115</v>
      </c>
      <c r="D20" s="7"/>
      <c r="E20" s="7"/>
      <c r="F20" s="7"/>
      <c r="G20" s="7"/>
      <c r="H20" s="7"/>
      <c r="I20" s="7"/>
      <c r="J20" s="7"/>
      <c r="K20" s="49">
        <v>500000</v>
      </c>
      <c r="L20" s="7"/>
      <c r="M20" s="7"/>
      <c r="N20" s="7"/>
      <c r="O20" s="7"/>
      <c r="P20" s="7"/>
      <c r="Q20" s="7"/>
      <c r="R20" s="7"/>
      <c r="S20" s="70">
        <f>(Table14356[[#This Row],[Commercial Bid Price per case for NOI ($)]]-Table14356[[#This Row],[Pass-Thru Value per case ($)]])+Table14356[[#This Row],[Region 1: Fixed Fee Per Case ($)]]</f>
        <v>0</v>
      </c>
      <c r="T20" s="71" t="e">
        <f>(Table14356[[#This Row],[Commercial Bid Price per case for NOI ($)]]+Table14356[[#This Row],[Region 1: Fixed Fee Per Case ($)]])/Table14356[[#This Row],['# of CN Servings per case]]</f>
        <v>#DIV/0!</v>
      </c>
      <c r="U20" s="71" t="e">
        <f>Table14356[[#This Row],[Total Cost Per Serving (O+P)/J]]*Table14356[[#This Row],[Estimated Servings Annual]]</f>
        <v>#DIV/0!</v>
      </c>
      <c r="V20" s="70">
        <f>(Table14356[[#This Row],[Commercial Bid Price per case for NOI ($)]]-Table14356[[#This Row],[Pass-Thru Value per case ($)]])+Table14356[[#This Row],[Region 2: Fixed Fee Per Case ($)]]</f>
        <v>0</v>
      </c>
      <c r="W20" s="71" t="e">
        <f>(Table14356[[#This Row],[Commercial Bid Price per case for NOI ($)]]+Table14356[[#This Row],[Region 2: Fixed Fee Per Case ($)]])/Table14356[[#This Row],['# of CN Servings per case]]</f>
        <v>#DIV/0!</v>
      </c>
      <c r="X20" s="72" t="e">
        <f>Table14356[[#This Row],[Total Cost Per Serving (O+Q)/J]]*Table14356[[#This Row],[Estimated Servings Annual]]</f>
        <v>#DIV/0!</v>
      </c>
    </row>
    <row r="21" spans="1:24" x14ac:dyDescent="0.35">
      <c r="A21" s="30" t="s">
        <v>32</v>
      </c>
      <c r="B21" s="28" t="s">
        <v>34</v>
      </c>
      <c r="C21" s="7" t="s">
        <v>116</v>
      </c>
      <c r="D21" s="7"/>
      <c r="E21" s="7"/>
      <c r="F21" s="7"/>
      <c r="G21" s="7"/>
      <c r="H21" s="7"/>
      <c r="I21" s="7"/>
      <c r="J21" s="7"/>
      <c r="K21" s="49">
        <v>500000</v>
      </c>
      <c r="L21" s="7"/>
      <c r="M21" s="7"/>
      <c r="N21" s="7"/>
      <c r="O21" s="7"/>
      <c r="P21" s="7"/>
      <c r="Q21" s="7"/>
      <c r="R21" s="7"/>
      <c r="S21" s="70">
        <f>(Table14356[[#This Row],[Commercial Bid Price per case for NOI ($)]]-Table14356[[#This Row],[Pass-Thru Value per case ($)]])+Table14356[[#This Row],[Region 1: Fixed Fee Per Case ($)]]</f>
        <v>0</v>
      </c>
      <c r="T21" s="71" t="e">
        <f>(Table14356[[#This Row],[Commercial Bid Price per case for NOI ($)]]+Table14356[[#This Row],[Region 1: Fixed Fee Per Case ($)]])/Table14356[[#This Row],['# of CN Servings per case]]</f>
        <v>#DIV/0!</v>
      </c>
      <c r="U21" s="71" t="e">
        <f>Table14356[[#This Row],[Total Cost Per Serving (O+P)/J]]*Table14356[[#This Row],[Estimated Servings Annual]]</f>
        <v>#DIV/0!</v>
      </c>
      <c r="V21" s="70">
        <f>(Table14356[[#This Row],[Commercial Bid Price per case for NOI ($)]]-Table14356[[#This Row],[Pass-Thru Value per case ($)]])+Table14356[[#This Row],[Region 2: Fixed Fee Per Case ($)]]</f>
        <v>0</v>
      </c>
      <c r="W21" s="71" t="e">
        <f>(Table14356[[#This Row],[Commercial Bid Price per case for NOI ($)]]+Table14356[[#This Row],[Region 2: Fixed Fee Per Case ($)]])/Table14356[[#This Row],['# of CN Servings per case]]</f>
        <v>#DIV/0!</v>
      </c>
      <c r="X21" s="72" t="e">
        <f>Table14356[[#This Row],[Total Cost Per Serving (O+Q)/J]]*Table14356[[#This Row],[Estimated Servings Annual]]</f>
        <v>#DIV/0!</v>
      </c>
    </row>
    <row r="22" spans="1:24" x14ac:dyDescent="0.35">
      <c r="A22" s="30" t="s">
        <v>32</v>
      </c>
      <c r="B22" s="28" t="s">
        <v>34</v>
      </c>
      <c r="C22" s="7" t="s">
        <v>116</v>
      </c>
      <c r="D22" s="7"/>
      <c r="E22" s="7"/>
      <c r="F22" s="7"/>
      <c r="G22" s="7"/>
      <c r="H22" s="7"/>
      <c r="I22" s="7"/>
      <c r="J22" s="7"/>
      <c r="K22" s="49">
        <v>500000</v>
      </c>
      <c r="L22" s="7"/>
      <c r="M22" s="7"/>
      <c r="N22" s="7"/>
      <c r="O22" s="7"/>
      <c r="P22" s="7"/>
      <c r="Q22" s="7"/>
      <c r="R22" s="7"/>
      <c r="S22" s="70">
        <f>(Table14356[[#This Row],[Commercial Bid Price per case for NOI ($)]]-Table14356[[#This Row],[Pass-Thru Value per case ($)]])+Table14356[[#This Row],[Region 1: Fixed Fee Per Case ($)]]</f>
        <v>0</v>
      </c>
      <c r="T22" s="71" t="e">
        <f>(Table14356[[#This Row],[Commercial Bid Price per case for NOI ($)]]+Table14356[[#This Row],[Region 1: Fixed Fee Per Case ($)]])/Table14356[[#This Row],['# of CN Servings per case]]</f>
        <v>#DIV/0!</v>
      </c>
      <c r="U22" s="71" t="e">
        <f>Table14356[[#This Row],[Total Cost Per Serving (O+P)/J]]*Table14356[[#This Row],[Estimated Servings Annual]]</f>
        <v>#DIV/0!</v>
      </c>
      <c r="V22" s="70">
        <f>(Table14356[[#This Row],[Commercial Bid Price per case for NOI ($)]]-Table14356[[#This Row],[Pass-Thru Value per case ($)]])+Table14356[[#This Row],[Region 2: Fixed Fee Per Case ($)]]</f>
        <v>0</v>
      </c>
      <c r="W22" s="71" t="e">
        <f>(Table14356[[#This Row],[Commercial Bid Price per case for NOI ($)]]+Table14356[[#This Row],[Region 2: Fixed Fee Per Case ($)]])/Table14356[[#This Row],['# of CN Servings per case]]</f>
        <v>#DIV/0!</v>
      </c>
      <c r="X22" s="72" t="e">
        <f>Table14356[[#This Row],[Total Cost Per Serving (O+Q)/J]]*Table14356[[#This Row],[Estimated Servings Annual]]</f>
        <v>#DIV/0!</v>
      </c>
    </row>
    <row r="23" spans="1:24" x14ac:dyDescent="0.35">
      <c r="A23" s="30" t="s">
        <v>32</v>
      </c>
      <c r="B23" s="28" t="s">
        <v>34</v>
      </c>
      <c r="C23" s="7" t="s">
        <v>13</v>
      </c>
      <c r="D23" s="7"/>
      <c r="E23" s="7"/>
      <c r="F23" s="7"/>
      <c r="G23" s="7"/>
      <c r="H23" s="7"/>
      <c r="I23" s="7"/>
      <c r="J23" s="7"/>
      <c r="K23" s="49">
        <v>500000</v>
      </c>
      <c r="L23" s="7"/>
      <c r="M23" s="7"/>
      <c r="N23" s="7"/>
      <c r="O23" s="7"/>
      <c r="P23" s="7"/>
      <c r="Q23" s="7"/>
      <c r="R23" s="7"/>
      <c r="S23" s="70">
        <f>(Table14356[[#This Row],[Commercial Bid Price per case for NOI ($)]]-Table14356[[#This Row],[Pass-Thru Value per case ($)]])+Table14356[[#This Row],[Region 1: Fixed Fee Per Case ($)]]</f>
        <v>0</v>
      </c>
      <c r="T23" s="71" t="e">
        <f>(Table14356[[#This Row],[Commercial Bid Price per case for NOI ($)]]+Table14356[[#This Row],[Region 1: Fixed Fee Per Case ($)]])/Table14356[[#This Row],['# of CN Servings per case]]</f>
        <v>#DIV/0!</v>
      </c>
      <c r="U23" s="71" t="e">
        <f>Table14356[[#This Row],[Total Cost Per Serving (O+P)/J]]*Table14356[[#This Row],[Estimated Servings Annual]]</f>
        <v>#DIV/0!</v>
      </c>
      <c r="V23" s="70">
        <f>(Table14356[[#This Row],[Commercial Bid Price per case for NOI ($)]]-Table14356[[#This Row],[Pass-Thru Value per case ($)]])+Table14356[[#This Row],[Region 2: Fixed Fee Per Case ($)]]</f>
        <v>0</v>
      </c>
      <c r="W23" s="71" t="e">
        <f>(Table14356[[#This Row],[Commercial Bid Price per case for NOI ($)]]+Table14356[[#This Row],[Region 2: Fixed Fee Per Case ($)]])/Table14356[[#This Row],['# of CN Servings per case]]</f>
        <v>#DIV/0!</v>
      </c>
      <c r="X23" s="72" t="e">
        <f>Table14356[[#This Row],[Total Cost Per Serving (O+Q)/J]]*Table14356[[#This Row],[Estimated Servings Annual]]</f>
        <v>#DIV/0!</v>
      </c>
    </row>
    <row r="24" spans="1:24" x14ac:dyDescent="0.35">
      <c r="A24" s="30" t="s">
        <v>32</v>
      </c>
      <c r="B24" s="28" t="s">
        <v>34</v>
      </c>
      <c r="C24" s="7" t="s">
        <v>13</v>
      </c>
      <c r="D24" s="7"/>
      <c r="E24" s="7"/>
      <c r="F24" s="7"/>
      <c r="G24" s="7"/>
      <c r="H24" s="7"/>
      <c r="I24" s="7"/>
      <c r="J24" s="7"/>
      <c r="K24" s="49">
        <v>500000</v>
      </c>
      <c r="L24" s="7"/>
      <c r="M24" s="7"/>
      <c r="N24" s="7"/>
      <c r="O24" s="7"/>
      <c r="P24" s="7"/>
      <c r="Q24" s="7"/>
      <c r="R24" s="7"/>
      <c r="S24" s="70">
        <f>(Table14356[[#This Row],[Commercial Bid Price per case for NOI ($)]]-Table14356[[#This Row],[Pass-Thru Value per case ($)]])+Table14356[[#This Row],[Region 1: Fixed Fee Per Case ($)]]</f>
        <v>0</v>
      </c>
      <c r="T24" s="71" t="e">
        <f>(Table14356[[#This Row],[Commercial Bid Price per case for NOI ($)]]+Table14356[[#This Row],[Region 1: Fixed Fee Per Case ($)]])/Table14356[[#This Row],['# of CN Servings per case]]</f>
        <v>#DIV/0!</v>
      </c>
      <c r="U24" s="71" t="e">
        <f>Table14356[[#This Row],[Total Cost Per Serving (O+P)/J]]*Table14356[[#This Row],[Estimated Servings Annual]]</f>
        <v>#DIV/0!</v>
      </c>
      <c r="V24" s="70">
        <f>(Table14356[[#This Row],[Commercial Bid Price per case for NOI ($)]]-Table14356[[#This Row],[Pass-Thru Value per case ($)]])+Table14356[[#This Row],[Region 2: Fixed Fee Per Case ($)]]</f>
        <v>0</v>
      </c>
      <c r="W24" s="71" t="e">
        <f>(Table14356[[#This Row],[Commercial Bid Price per case for NOI ($)]]+Table14356[[#This Row],[Region 2: Fixed Fee Per Case ($)]])/Table14356[[#This Row],['# of CN Servings per case]]</f>
        <v>#DIV/0!</v>
      </c>
      <c r="X24" s="72" t="e">
        <f>Table14356[[#This Row],[Total Cost Per Serving (O+Q)/J]]*Table14356[[#This Row],[Estimated Servings Annual]]</f>
        <v>#DIV/0!</v>
      </c>
    </row>
    <row r="25" spans="1:24" x14ac:dyDescent="0.35">
      <c r="A25" s="30" t="s">
        <v>32</v>
      </c>
      <c r="B25" s="28" t="s">
        <v>34</v>
      </c>
      <c r="C25" s="7" t="s">
        <v>13</v>
      </c>
      <c r="D25" s="7"/>
      <c r="E25" s="7"/>
      <c r="F25" s="7"/>
      <c r="G25" s="7"/>
      <c r="H25" s="7"/>
      <c r="I25" s="7"/>
      <c r="J25" s="7"/>
      <c r="K25" s="49">
        <v>500000</v>
      </c>
      <c r="L25" s="7"/>
      <c r="M25" s="7"/>
      <c r="N25" s="7"/>
      <c r="O25" s="7"/>
      <c r="P25" s="7"/>
      <c r="Q25" s="7"/>
      <c r="R25" s="7"/>
      <c r="S25" s="70">
        <f>(Table14356[[#This Row],[Commercial Bid Price per case for NOI ($)]]-Table14356[[#This Row],[Pass-Thru Value per case ($)]])+Table14356[[#This Row],[Region 1: Fixed Fee Per Case ($)]]</f>
        <v>0</v>
      </c>
      <c r="T25" s="71" t="e">
        <f>(Table14356[[#This Row],[Commercial Bid Price per case for NOI ($)]]+Table14356[[#This Row],[Region 1: Fixed Fee Per Case ($)]])/Table14356[[#This Row],['# of CN Servings per case]]</f>
        <v>#DIV/0!</v>
      </c>
      <c r="U25" s="71" t="e">
        <f>Table14356[[#This Row],[Total Cost Per Serving (O+P)/J]]*Table14356[[#This Row],[Estimated Servings Annual]]</f>
        <v>#DIV/0!</v>
      </c>
      <c r="V25" s="70">
        <f>(Table14356[[#This Row],[Commercial Bid Price per case for NOI ($)]]-Table14356[[#This Row],[Pass-Thru Value per case ($)]])+Table14356[[#This Row],[Region 2: Fixed Fee Per Case ($)]]</f>
        <v>0</v>
      </c>
      <c r="W25" s="71" t="e">
        <f>(Table14356[[#This Row],[Commercial Bid Price per case for NOI ($)]]+Table14356[[#This Row],[Region 2: Fixed Fee Per Case ($)]])/Table14356[[#This Row],['# of CN Servings per case]]</f>
        <v>#DIV/0!</v>
      </c>
      <c r="X25" s="72" t="e">
        <f>Table14356[[#This Row],[Total Cost Per Serving (O+Q)/J]]*Table14356[[#This Row],[Estimated Servings Annual]]</f>
        <v>#DIV/0!</v>
      </c>
    </row>
    <row r="26" spans="1:24" ht="15" thickBot="1" x14ac:dyDescent="0.4">
      <c r="A26" s="30" t="s">
        <v>32</v>
      </c>
      <c r="B26" s="28" t="s">
        <v>34</v>
      </c>
      <c r="C26" s="8" t="s">
        <v>13</v>
      </c>
      <c r="D26" s="8"/>
      <c r="E26" s="8"/>
      <c r="F26" s="8"/>
      <c r="G26" s="8"/>
      <c r="H26" s="8"/>
      <c r="I26" s="8"/>
      <c r="J26" s="8"/>
      <c r="K26" s="49">
        <v>500000</v>
      </c>
      <c r="L26" s="8"/>
      <c r="M26" s="8"/>
      <c r="N26" s="8"/>
      <c r="O26" s="8"/>
      <c r="P26" s="8"/>
      <c r="Q26" s="8"/>
      <c r="R26" s="8"/>
      <c r="S26" s="73">
        <f>(Table14356[[#This Row],[Commercial Bid Price per case for NOI ($)]]-Table14356[[#This Row],[Pass-Thru Value per case ($)]])+Table14356[[#This Row],[Region 1: Fixed Fee Per Case ($)]]</f>
        <v>0</v>
      </c>
      <c r="T26" s="74" t="e">
        <f>(Table14356[[#This Row],[Commercial Bid Price per case for NOI ($)]]+Table14356[[#This Row],[Region 1: Fixed Fee Per Case ($)]])/Table14356[[#This Row],['# of CN Servings per case]]</f>
        <v>#DIV/0!</v>
      </c>
      <c r="U26" s="74" t="e">
        <f>Table14356[[#This Row],[Total Cost Per Serving (O+P)/J]]*Table14356[[#This Row],[Estimated Servings Annual]]</f>
        <v>#DIV/0!</v>
      </c>
      <c r="V26" s="73">
        <f>(Table14356[[#This Row],[Commercial Bid Price per case for NOI ($)]]-Table14356[[#This Row],[Pass-Thru Value per case ($)]])+Table14356[[#This Row],[Region 2: Fixed Fee Per Case ($)]]</f>
        <v>0</v>
      </c>
      <c r="W26" s="74" t="e">
        <f>(Table14356[[#This Row],[Commercial Bid Price per case for NOI ($)]]+Table14356[[#This Row],[Region 2: Fixed Fee Per Case ($)]])/Table14356[[#This Row],['# of CN Servings per case]]</f>
        <v>#DIV/0!</v>
      </c>
      <c r="X26" s="75" t="e">
        <f>Table14356[[#This Row],[Total Cost Per Serving (O+Q)/J]]*Table14356[[#This Row],[Estimated Servings Annual]]</f>
        <v>#DIV/0!</v>
      </c>
    </row>
    <row r="27" spans="1:24" x14ac:dyDescent="0.35">
      <c r="A27" s="52" t="s">
        <v>32</v>
      </c>
      <c r="B27" s="54" t="s">
        <v>114</v>
      </c>
      <c r="C27" s="7" t="s">
        <v>116</v>
      </c>
      <c r="D27" s="6"/>
      <c r="E27" s="6"/>
      <c r="F27" s="6"/>
      <c r="G27" s="6"/>
      <c r="H27" s="6"/>
      <c r="I27" s="6"/>
      <c r="J27" s="6"/>
      <c r="K27" s="48">
        <v>150000</v>
      </c>
      <c r="L27" s="6"/>
      <c r="M27" s="6"/>
      <c r="N27" s="6"/>
      <c r="O27" s="6"/>
      <c r="P27" s="6"/>
      <c r="Q27" s="6"/>
      <c r="R27" s="6"/>
      <c r="S27" s="67">
        <f>(Table14356[[#This Row],[Commercial Bid Price per case for NOI ($)]]-Table14356[[#This Row],[Pass-Thru Value per case ($)]])+Table14356[[#This Row],[Region 1: Fixed Fee Per Case ($)]]</f>
        <v>0</v>
      </c>
      <c r="T27" s="68" t="e">
        <f>(Table14356[[#This Row],[Commercial Bid Price per case for NOI ($)]]+Table14356[[#This Row],[Region 1: Fixed Fee Per Case ($)]])/Table14356[[#This Row],['# of CN Servings per case]]</f>
        <v>#DIV/0!</v>
      </c>
      <c r="U27" s="68" t="e">
        <f>Table14356[[#This Row],[Total Cost Per Serving (O+P)/J]]*Table14356[[#This Row],[Estimated Servings Annual]]</f>
        <v>#DIV/0!</v>
      </c>
      <c r="V27" s="67">
        <f>(Table14356[[#This Row],[Commercial Bid Price per case for NOI ($)]]-Table14356[[#This Row],[Pass-Thru Value per case ($)]])+Table14356[[#This Row],[Region 2: Fixed Fee Per Case ($)]]</f>
        <v>0</v>
      </c>
      <c r="W27" s="68" t="e">
        <f>(Table14356[[#This Row],[Commercial Bid Price per case for NOI ($)]]+Table14356[[#This Row],[Region 2: Fixed Fee Per Case ($)]])/Table14356[[#This Row],['# of CN Servings per case]]</f>
        <v>#DIV/0!</v>
      </c>
      <c r="X27" s="69" t="e">
        <f>Table14356[[#This Row],[Total Cost Per Serving (O+Q)/J]]*Table14356[[#This Row],[Estimated Servings Annual]]</f>
        <v>#DIV/0!</v>
      </c>
    </row>
    <row r="28" spans="1:24" x14ac:dyDescent="0.35">
      <c r="A28" s="52" t="s">
        <v>32</v>
      </c>
      <c r="B28" s="55" t="s">
        <v>114</v>
      </c>
      <c r="C28" s="7" t="s">
        <v>116</v>
      </c>
      <c r="D28" s="7"/>
      <c r="E28" s="7"/>
      <c r="F28" s="7"/>
      <c r="G28" s="7"/>
      <c r="H28" s="7"/>
      <c r="I28" s="7"/>
      <c r="J28" s="7"/>
      <c r="K28" s="49">
        <v>150000</v>
      </c>
      <c r="L28" s="7"/>
      <c r="M28" s="7"/>
      <c r="N28" s="7"/>
      <c r="O28" s="7"/>
      <c r="P28" s="7"/>
      <c r="Q28" s="7"/>
      <c r="R28" s="7"/>
      <c r="S28" s="70">
        <f>(Table14356[[#This Row],[Commercial Bid Price per case for NOI ($)]]-Table14356[[#This Row],[Pass-Thru Value per case ($)]])+Table14356[[#This Row],[Region 1: Fixed Fee Per Case ($)]]</f>
        <v>0</v>
      </c>
      <c r="T28" s="71" t="e">
        <f>(Table14356[[#This Row],[Commercial Bid Price per case for NOI ($)]]+Table14356[[#This Row],[Region 1: Fixed Fee Per Case ($)]])/Table14356[[#This Row],['# of CN Servings per case]]</f>
        <v>#DIV/0!</v>
      </c>
      <c r="U28" s="71" t="e">
        <f>Table14356[[#This Row],[Total Cost Per Serving (O+P)/J]]*Table14356[[#This Row],[Estimated Servings Annual]]</f>
        <v>#DIV/0!</v>
      </c>
      <c r="V28" s="70">
        <f>(Table14356[[#This Row],[Commercial Bid Price per case for NOI ($)]]-Table14356[[#This Row],[Pass-Thru Value per case ($)]])+Table14356[[#This Row],[Region 2: Fixed Fee Per Case ($)]]</f>
        <v>0</v>
      </c>
      <c r="W28" s="71" t="e">
        <f>(Table14356[[#This Row],[Commercial Bid Price per case for NOI ($)]]+Table14356[[#This Row],[Region 2: Fixed Fee Per Case ($)]])/Table14356[[#This Row],['# of CN Servings per case]]</f>
        <v>#DIV/0!</v>
      </c>
      <c r="X28" s="72" t="e">
        <f>Table14356[[#This Row],[Total Cost Per Serving (O+Q)/J]]*Table14356[[#This Row],[Estimated Servings Annual]]</f>
        <v>#DIV/0!</v>
      </c>
    </row>
    <row r="29" spans="1:24" x14ac:dyDescent="0.35">
      <c r="A29" s="52" t="s">
        <v>32</v>
      </c>
      <c r="B29" s="55" t="s">
        <v>114</v>
      </c>
      <c r="C29" s="7" t="s">
        <v>13</v>
      </c>
      <c r="D29" s="7"/>
      <c r="E29" s="7"/>
      <c r="F29" s="7"/>
      <c r="G29" s="7"/>
      <c r="H29" s="7"/>
      <c r="I29" s="7"/>
      <c r="J29" s="7"/>
      <c r="K29" s="49">
        <v>150000</v>
      </c>
      <c r="L29" s="7"/>
      <c r="M29" s="7"/>
      <c r="N29" s="7"/>
      <c r="O29" s="7"/>
      <c r="P29" s="7"/>
      <c r="Q29" s="7"/>
      <c r="R29" s="7"/>
      <c r="S29" s="70">
        <f>(Table14356[[#This Row],[Commercial Bid Price per case for NOI ($)]]-Table14356[[#This Row],[Pass-Thru Value per case ($)]])+Table14356[[#This Row],[Region 1: Fixed Fee Per Case ($)]]</f>
        <v>0</v>
      </c>
      <c r="T29" s="71" t="e">
        <f>(Table14356[[#This Row],[Commercial Bid Price per case for NOI ($)]]+Table14356[[#This Row],[Region 1: Fixed Fee Per Case ($)]])/Table14356[[#This Row],['# of CN Servings per case]]</f>
        <v>#DIV/0!</v>
      </c>
      <c r="U29" s="71" t="e">
        <f>Table14356[[#This Row],[Total Cost Per Serving (O+P)/J]]*Table14356[[#This Row],[Estimated Servings Annual]]</f>
        <v>#DIV/0!</v>
      </c>
      <c r="V29" s="70">
        <f>(Table14356[[#This Row],[Commercial Bid Price per case for NOI ($)]]-Table14356[[#This Row],[Pass-Thru Value per case ($)]])+Table14356[[#This Row],[Region 2: Fixed Fee Per Case ($)]]</f>
        <v>0</v>
      </c>
      <c r="W29" s="71" t="e">
        <f>(Table14356[[#This Row],[Commercial Bid Price per case for NOI ($)]]+Table14356[[#This Row],[Region 2: Fixed Fee Per Case ($)]])/Table14356[[#This Row],['# of CN Servings per case]]</f>
        <v>#DIV/0!</v>
      </c>
      <c r="X29" s="72" t="e">
        <f>Table14356[[#This Row],[Total Cost Per Serving (O+Q)/J]]*Table14356[[#This Row],[Estimated Servings Annual]]</f>
        <v>#DIV/0!</v>
      </c>
    </row>
    <row r="30" spans="1:24" x14ac:dyDescent="0.35">
      <c r="A30" s="52" t="s">
        <v>32</v>
      </c>
      <c r="B30" s="55" t="s">
        <v>114</v>
      </c>
      <c r="C30" s="7" t="s">
        <v>13</v>
      </c>
      <c r="D30" s="7"/>
      <c r="E30" s="7"/>
      <c r="F30" s="7"/>
      <c r="G30" s="7"/>
      <c r="H30" s="7"/>
      <c r="I30" s="7"/>
      <c r="J30" s="7"/>
      <c r="K30" s="49">
        <v>150000</v>
      </c>
      <c r="L30" s="7"/>
      <c r="M30" s="7"/>
      <c r="N30" s="7"/>
      <c r="O30" s="7"/>
      <c r="P30" s="7"/>
      <c r="Q30" s="7"/>
      <c r="R30" s="7"/>
      <c r="S30" s="70">
        <f>(Table14356[[#This Row],[Commercial Bid Price per case for NOI ($)]]-Table14356[[#This Row],[Pass-Thru Value per case ($)]])+Table14356[[#This Row],[Region 1: Fixed Fee Per Case ($)]]</f>
        <v>0</v>
      </c>
      <c r="T30" s="71" t="e">
        <f>(Table14356[[#This Row],[Commercial Bid Price per case for NOI ($)]]+Table14356[[#This Row],[Region 1: Fixed Fee Per Case ($)]])/Table14356[[#This Row],['# of CN Servings per case]]</f>
        <v>#DIV/0!</v>
      </c>
      <c r="U30" s="71" t="e">
        <f>Table14356[[#This Row],[Total Cost Per Serving (O+P)/J]]*Table14356[[#This Row],[Estimated Servings Annual]]</f>
        <v>#DIV/0!</v>
      </c>
      <c r="V30" s="70">
        <f>(Table14356[[#This Row],[Commercial Bid Price per case for NOI ($)]]-Table14356[[#This Row],[Pass-Thru Value per case ($)]])+Table14356[[#This Row],[Region 2: Fixed Fee Per Case ($)]]</f>
        <v>0</v>
      </c>
      <c r="W30" s="71" t="e">
        <f>(Table14356[[#This Row],[Commercial Bid Price per case for NOI ($)]]+Table14356[[#This Row],[Region 2: Fixed Fee Per Case ($)]])/Table14356[[#This Row],['# of CN Servings per case]]</f>
        <v>#DIV/0!</v>
      </c>
      <c r="X30" s="72" t="e">
        <f>Table14356[[#This Row],[Total Cost Per Serving (O+Q)/J]]*Table14356[[#This Row],[Estimated Servings Annual]]</f>
        <v>#DIV/0!</v>
      </c>
    </row>
    <row r="31" spans="1:24" x14ac:dyDescent="0.35">
      <c r="A31" s="52" t="s">
        <v>32</v>
      </c>
      <c r="B31" s="55" t="s">
        <v>114</v>
      </c>
      <c r="C31" s="7" t="s">
        <v>13</v>
      </c>
      <c r="D31" s="7"/>
      <c r="E31" s="7"/>
      <c r="F31" s="7"/>
      <c r="G31" s="7"/>
      <c r="H31" s="7"/>
      <c r="I31" s="7"/>
      <c r="J31" s="7"/>
      <c r="K31" s="49">
        <v>150000</v>
      </c>
      <c r="L31" s="7"/>
      <c r="M31" s="7"/>
      <c r="N31" s="7"/>
      <c r="O31" s="7"/>
      <c r="P31" s="7"/>
      <c r="Q31" s="7"/>
      <c r="R31" s="7"/>
      <c r="S31" s="70">
        <f>(Table14356[[#This Row],[Commercial Bid Price per case for NOI ($)]]-Table14356[[#This Row],[Pass-Thru Value per case ($)]])+Table14356[[#This Row],[Region 1: Fixed Fee Per Case ($)]]</f>
        <v>0</v>
      </c>
      <c r="T31" s="71" t="e">
        <f>(Table14356[[#This Row],[Commercial Bid Price per case for NOI ($)]]+Table14356[[#This Row],[Region 1: Fixed Fee Per Case ($)]])/Table14356[[#This Row],['# of CN Servings per case]]</f>
        <v>#DIV/0!</v>
      </c>
      <c r="U31" s="71" t="e">
        <f>Table14356[[#This Row],[Total Cost Per Serving (O+P)/J]]*Table14356[[#This Row],[Estimated Servings Annual]]</f>
        <v>#DIV/0!</v>
      </c>
      <c r="V31" s="70">
        <f>(Table14356[[#This Row],[Commercial Bid Price per case for NOI ($)]]-Table14356[[#This Row],[Pass-Thru Value per case ($)]])+Table14356[[#This Row],[Region 2: Fixed Fee Per Case ($)]]</f>
        <v>0</v>
      </c>
      <c r="W31" s="71" t="e">
        <f>(Table14356[[#This Row],[Commercial Bid Price per case for NOI ($)]]+Table14356[[#This Row],[Region 2: Fixed Fee Per Case ($)]])/Table14356[[#This Row],['# of CN Servings per case]]</f>
        <v>#DIV/0!</v>
      </c>
      <c r="X31" s="72" t="e">
        <f>Table14356[[#This Row],[Total Cost Per Serving (O+Q)/J]]*Table14356[[#This Row],[Estimated Servings Annual]]</f>
        <v>#DIV/0!</v>
      </c>
    </row>
    <row r="32" spans="1:24" x14ac:dyDescent="0.35">
      <c r="A32" s="52" t="s">
        <v>32</v>
      </c>
      <c r="B32" s="55" t="s">
        <v>114</v>
      </c>
      <c r="C32" s="7" t="s">
        <v>13</v>
      </c>
      <c r="D32" s="7"/>
      <c r="E32" s="7"/>
      <c r="F32" s="7"/>
      <c r="G32" s="7"/>
      <c r="H32" s="7"/>
      <c r="I32" s="7"/>
      <c r="J32" s="7"/>
      <c r="K32" s="49">
        <v>150000</v>
      </c>
      <c r="L32" s="7"/>
      <c r="M32" s="7"/>
      <c r="N32" s="7"/>
      <c r="O32" s="7"/>
      <c r="P32" s="7"/>
      <c r="Q32" s="7"/>
      <c r="R32" s="7"/>
      <c r="S32" s="70">
        <f>(Table14356[[#This Row],[Commercial Bid Price per case for NOI ($)]]-Table14356[[#This Row],[Pass-Thru Value per case ($)]])+Table14356[[#This Row],[Region 1: Fixed Fee Per Case ($)]]</f>
        <v>0</v>
      </c>
      <c r="T32" s="71" t="e">
        <f>(Table14356[[#This Row],[Commercial Bid Price per case for NOI ($)]]+Table14356[[#This Row],[Region 1: Fixed Fee Per Case ($)]])/Table14356[[#This Row],['# of CN Servings per case]]</f>
        <v>#DIV/0!</v>
      </c>
      <c r="U32" s="71" t="e">
        <f>Table14356[[#This Row],[Total Cost Per Serving (O+P)/J]]*Table14356[[#This Row],[Estimated Servings Annual]]</f>
        <v>#DIV/0!</v>
      </c>
      <c r="V32" s="70">
        <f>(Table14356[[#This Row],[Commercial Bid Price per case for NOI ($)]]-Table14356[[#This Row],[Pass-Thru Value per case ($)]])+Table14356[[#This Row],[Region 2: Fixed Fee Per Case ($)]]</f>
        <v>0</v>
      </c>
      <c r="W32" s="71" t="e">
        <f>(Table14356[[#This Row],[Commercial Bid Price per case for NOI ($)]]+Table14356[[#This Row],[Region 2: Fixed Fee Per Case ($)]])/Table14356[[#This Row],['# of CN Servings per case]]</f>
        <v>#DIV/0!</v>
      </c>
      <c r="X32" s="72" t="e">
        <f>Table14356[[#This Row],[Total Cost Per Serving (O+Q)/J]]*Table14356[[#This Row],[Estimated Servings Annual]]</f>
        <v>#DIV/0!</v>
      </c>
    </row>
    <row r="33" spans="1:24" x14ac:dyDescent="0.35">
      <c r="A33" s="52" t="s">
        <v>32</v>
      </c>
      <c r="B33" s="55" t="s">
        <v>114</v>
      </c>
      <c r="C33" s="7" t="s">
        <v>13</v>
      </c>
      <c r="D33" s="7"/>
      <c r="E33" s="7"/>
      <c r="F33" s="7"/>
      <c r="G33" s="7"/>
      <c r="H33" s="7"/>
      <c r="I33" s="7"/>
      <c r="J33" s="7"/>
      <c r="K33" s="49">
        <v>150000</v>
      </c>
      <c r="L33" s="7"/>
      <c r="M33" s="7"/>
      <c r="N33" s="7"/>
      <c r="O33" s="7"/>
      <c r="P33" s="7"/>
      <c r="Q33" s="7"/>
      <c r="R33" s="7"/>
      <c r="S33" s="70">
        <f>(Table14356[[#This Row],[Commercial Bid Price per case for NOI ($)]]-Table14356[[#This Row],[Pass-Thru Value per case ($)]])+Table14356[[#This Row],[Region 1: Fixed Fee Per Case ($)]]</f>
        <v>0</v>
      </c>
      <c r="T33" s="71" t="e">
        <f>(Table14356[[#This Row],[Commercial Bid Price per case for NOI ($)]]+Table14356[[#This Row],[Region 1: Fixed Fee Per Case ($)]])/Table14356[[#This Row],['# of CN Servings per case]]</f>
        <v>#DIV/0!</v>
      </c>
      <c r="U33" s="71" t="e">
        <f>Table14356[[#This Row],[Total Cost Per Serving (O+P)/J]]*Table14356[[#This Row],[Estimated Servings Annual]]</f>
        <v>#DIV/0!</v>
      </c>
      <c r="V33" s="70">
        <f>(Table14356[[#This Row],[Commercial Bid Price per case for NOI ($)]]-Table14356[[#This Row],[Pass-Thru Value per case ($)]])+Table14356[[#This Row],[Region 2: Fixed Fee Per Case ($)]]</f>
        <v>0</v>
      </c>
      <c r="W33" s="71" t="e">
        <f>(Table14356[[#This Row],[Commercial Bid Price per case for NOI ($)]]+Table14356[[#This Row],[Region 2: Fixed Fee Per Case ($)]])/Table14356[[#This Row],['# of CN Servings per case]]</f>
        <v>#DIV/0!</v>
      </c>
      <c r="X33" s="72" t="e">
        <f>Table14356[[#This Row],[Total Cost Per Serving (O+Q)/J]]*Table14356[[#This Row],[Estimated Servings Annual]]</f>
        <v>#DIV/0!</v>
      </c>
    </row>
    <row r="34" spans="1:24" ht="15" thickBot="1" x14ac:dyDescent="0.4">
      <c r="A34" s="52" t="s">
        <v>32</v>
      </c>
      <c r="B34" s="55" t="s">
        <v>114</v>
      </c>
      <c r="C34" s="8" t="s">
        <v>13</v>
      </c>
      <c r="D34" s="8"/>
      <c r="E34" s="8"/>
      <c r="F34" s="8"/>
      <c r="G34" s="8"/>
      <c r="H34" s="8"/>
      <c r="I34" s="8"/>
      <c r="J34" s="8"/>
      <c r="K34" s="50">
        <v>150000</v>
      </c>
      <c r="L34" s="8"/>
      <c r="M34" s="8"/>
      <c r="N34" s="8"/>
      <c r="O34" s="8"/>
      <c r="P34" s="8"/>
      <c r="Q34" s="8"/>
      <c r="R34" s="8"/>
      <c r="S34" s="73">
        <f>(Table14356[[#This Row],[Commercial Bid Price per case for NOI ($)]]-Table14356[[#This Row],[Pass-Thru Value per case ($)]])+Table14356[[#This Row],[Region 1: Fixed Fee Per Case ($)]]</f>
        <v>0</v>
      </c>
      <c r="T34" s="74" t="e">
        <f>(Table14356[[#This Row],[Commercial Bid Price per case for NOI ($)]]+Table14356[[#This Row],[Region 1: Fixed Fee Per Case ($)]])/Table14356[[#This Row],['# of CN Servings per case]]</f>
        <v>#DIV/0!</v>
      </c>
      <c r="U34" s="74" t="e">
        <f>Table14356[[#This Row],[Total Cost Per Serving (O+P)/J]]*Table14356[[#This Row],[Estimated Servings Annual]]</f>
        <v>#DIV/0!</v>
      </c>
      <c r="V34" s="73">
        <f>(Table14356[[#This Row],[Commercial Bid Price per case for NOI ($)]]-Table14356[[#This Row],[Pass-Thru Value per case ($)]])+Table14356[[#This Row],[Region 2: Fixed Fee Per Case ($)]]</f>
        <v>0</v>
      </c>
      <c r="W34" s="74" t="e">
        <f>(Table14356[[#This Row],[Commercial Bid Price per case for NOI ($)]]+Table14356[[#This Row],[Region 2: Fixed Fee Per Case ($)]])/Table14356[[#This Row],['# of CN Servings per case]]</f>
        <v>#DIV/0!</v>
      </c>
      <c r="X34" s="75" t="e">
        <f>Table14356[[#This Row],[Total Cost Per Serving (O+Q)/J]]*Table14356[[#This Row],[Estimated Servings Annual]]</f>
        <v>#DIV/0!</v>
      </c>
    </row>
  </sheetData>
  <sheetProtection algorithmName="SHA-512" hashValue="x49AUdibKJmIgenRbTOegMWOaufpYJ9Q0W6d5JB4Pmxy36UBagTjT4NxFDuIz2C4g/+ucfJTOn+h5io+5FV9fw==" saltValue="8t0myGk/3NHuj399pMJZ9w==" spinCount="100000" sheet="1" objects="1" scenarios="1" formatCells="0" formatColumns="0"/>
  <mergeCells count="3">
    <mergeCell ref="E1:G1"/>
    <mergeCell ref="S1:U1"/>
    <mergeCell ref="V1:X1"/>
  </mergeCell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D61E2-9A06-464D-8F5A-E26CA7A9AF03}">
  <sheetPr codeName="Sheet7"/>
  <dimension ref="A1:X155"/>
  <sheetViews>
    <sheetView workbookViewId="0">
      <pane xSplit="3" ySplit="2" topLeftCell="D3" activePane="bottomRight" state="frozen"/>
      <selection activeCell="A24" sqref="A24"/>
      <selection pane="topRight" activeCell="A24" sqref="A24"/>
      <selection pane="bottomLeft" activeCell="A24" sqref="A24"/>
      <selection pane="bottomRight" activeCell="A24" sqref="A24"/>
    </sheetView>
  </sheetViews>
  <sheetFormatPr defaultColWidth="11" defaultRowHeight="14.5" x14ac:dyDescent="0.35"/>
  <cols>
    <col min="1" max="1" width="10.7265625" style="9" customWidth="1"/>
    <col min="2" max="2" width="30.6328125" style="9" bestFit="1" customWidth="1"/>
    <col min="3" max="3" width="16.6328125" style="9" bestFit="1" customWidth="1"/>
    <col min="4" max="4" width="20.81640625" style="9" bestFit="1" customWidth="1"/>
    <col min="5" max="5" width="26.26953125" style="9" bestFit="1" customWidth="1"/>
    <col min="6" max="6" width="12.90625" style="9" bestFit="1" customWidth="1"/>
    <col min="7" max="7" width="15" style="9" bestFit="1" customWidth="1"/>
    <col min="8" max="8" width="14.54296875" style="9" bestFit="1" customWidth="1"/>
    <col min="9" max="9" width="9.54296875" style="9" bestFit="1" customWidth="1"/>
    <col min="10" max="10" width="13.6328125" style="63" bestFit="1" customWidth="1"/>
    <col min="11" max="11" width="12.6328125" style="9" bestFit="1" customWidth="1"/>
    <col min="12" max="12" width="10.453125" style="9" bestFit="1" customWidth="1"/>
    <col min="13" max="13" width="14.26953125" style="9" bestFit="1" customWidth="1"/>
    <col min="14" max="14" width="11.453125" style="9" bestFit="1" customWidth="1"/>
    <col min="15" max="15" width="17.81640625" style="9" bestFit="1" customWidth="1"/>
    <col min="16" max="17" width="19.90625" style="9" bestFit="1" customWidth="1"/>
    <col min="18" max="18" width="14.54296875" style="9" bestFit="1" customWidth="1"/>
    <col min="19" max="19" width="14.1796875" style="9" bestFit="1" customWidth="1"/>
    <col min="20" max="20" width="16.36328125" style="9" bestFit="1" customWidth="1"/>
    <col min="21" max="21" width="11.54296875" style="9" bestFit="1" customWidth="1"/>
    <col min="22" max="22" width="14.1796875" style="9" bestFit="1" customWidth="1"/>
    <col min="23" max="23" width="16.6328125" style="9" bestFit="1" customWidth="1"/>
    <col min="24" max="24" width="11.54296875" style="9" bestFit="1" customWidth="1"/>
    <col min="25" max="16384" width="11" style="9"/>
  </cols>
  <sheetData>
    <row r="1" spans="1:24" x14ac:dyDescent="0.35">
      <c r="D1" s="10" t="s">
        <v>63</v>
      </c>
      <c r="E1" s="97">
        <f>Instructions!A2</f>
        <v>0</v>
      </c>
      <c r="F1" s="97"/>
      <c r="G1" s="97"/>
      <c r="S1" s="98" t="s">
        <v>72</v>
      </c>
      <c r="T1" s="99"/>
      <c r="U1" s="100"/>
      <c r="V1" s="101" t="s">
        <v>73</v>
      </c>
      <c r="W1" s="102"/>
      <c r="X1" s="102"/>
    </row>
    <row r="2" spans="1:24" s="10" customFormat="1" ht="58.5" thickBot="1" x14ac:dyDescent="0.4">
      <c r="A2" s="10" t="s">
        <v>14</v>
      </c>
      <c r="B2" s="10" t="s">
        <v>3</v>
      </c>
      <c r="C2" s="10" t="s">
        <v>23</v>
      </c>
      <c r="D2" s="10" t="s">
        <v>66</v>
      </c>
      <c r="E2" s="10" t="s">
        <v>182</v>
      </c>
      <c r="F2" s="10" t="s">
        <v>0</v>
      </c>
      <c r="G2" s="10" t="s">
        <v>4</v>
      </c>
      <c r="H2" s="10" t="s">
        <v>20</v>
      </c>
      <c r="I2" s="10" t="s">
        <v>1</v>
      </c>
      <c r="J2" s="10" t="s">
        <v>5</v>
      </c>
      <c r="K2" s="18" t="s">
        <v>6</v>
      </c>
      <c r="L2" s="10" t="s">
        <v>2</v>
      </c>
      <c r="M2" s="10" t="s">
        <v>21</v>
      </c>
      <c r="N2" s="10" t="s">
        <v>65</v>
      </c>
      <c r="O2" s="10" t="s">
        <v>22</v>
      </c>
      <c r="P2" s="10" t="s">
        <v>70</v>
      </c>
      <c r="Q2" s="10" t="s">
        <v>71</v>
      </c>
      <c r="R2" s="10" t="s">
        <v>19</v>
      </c>
      <c r="S2" s="64" t="s">
        <v>77</v>
      </c>
      <c r="T2" s="65" t="s">
        <v>79</v>
      </c>
      <c r="U2" s="66" t="s">
        <v>80</v>
      </c>
      <c r="V2" s="64" t="s">
        <v>78</v>
      </c>
      <c r="W2" s="65" t="s">
        <v>81</v>
      </c>
      <c r="X2" s="66" t="s">
        <v>82</v>
      </c>
    </row>
    <row r="3" spans="1:24" x14ac:dyDescent="0.35">
      <c r="A3" s="29" t="s">
        <v>37</v>
      </c>
      <c r="B3" s="42" t="s">
        <v>117</v>
      </c>
      <c r="C3" s="6" t="s">
        <v>51</v>
      </c>
      <c r="D3" s="6"/>
      <c r="E3" s="6"/>
      <c r="F3" s="6"/>
      <c r="G3" s="6"/>
      <c r="H3" s="6"/>
      <c r="I3" s="6"/>
      <c r="J3" s="6"/>
      <c r="K3" s="48">
        <v>150000</v>
      </c>
      <c r="L3" s="6"/>
      <c r="M3" s="6"/>
      <c r="N3" s="6"/>
      <c r="O3" s="6"/>
      <c r="P3" s="6"/>
      <c r="Q3" s="6"/>
      <c r="R3" s="6"/>
      <c r="S3" s="67">
        <f>(Table1437[[#This Row],[Commercial Bid Price per case for NOI ($)]]-Table1437[[#This Row],[Pass-Thru Value per case ($)]])+Table1437[[#This Row],[Region 1: Fixed Fee Per Case ($)]]</f>
        <v>0</v>
      </c>
      <c r="T3" s="68" t="e">
        <f>(Table1437[[#This Row],[Commercial Bid Price per case for NOI ($)]]+Table1437[[#This Row],[Region 1: Fixed Fee Per Case ($)]])/Table1437[[#This Row],['# of CN Servings per case]]</f>
        <v>#DIV/0!</v>
      </c>
      <c r="U3" s="68" t="e">
        <f>Table1437[[#This Row],[Total Cost Per Serving (O+P)/J]]*Table1437[[#This Row],[Estimated Servings Annual]]</f>
        <v>#DIV/0!</v>
      </c>
      <c r="V3" s="67">
        <f>(Table1437[[#This Row],[Commercial Bid Price per case for NOI ($)]]-Table1437[[#This Row],[Pass-Thru Value per case ($)]])+Table1437[[#This Row],[Region 2: Fixed Fee Per Case ($)]]</f>
        <v>0</v>
      </c>
      <c r="W3" s="68" t="e">
        <f>(Table1437[[#This Row],[Commercial Bid Price per case for NOI ($)]]+Table1437[[#This Row],[Region 2: Fixed Fee Per Case ($)]])/Table1437[[#This Row],['# of CN Servings per case]]</f>
        <v>#DIV/0!</v>
      </c>
      <c r="X3" s="69" t="e">
        <f>Table1437[[#This Row],[Total Cost Per Serving (O+Q)/J]]*Table1437[[#This Row],[Estimated Servings Annual]]</f>
        <v>#DIV/0!</v>
      </c>
    </row>
    <row r="4" spans="1:24" x14ac:dyDescent="0.35">
      <c r="A4" s="30" t="s">
        <v>37</v>
      </c>
      <c r="B4" s="28" t="s">
        <v>117</v>
      </c>
      <c r="C4" s="7" t="s">
        <v>51</v>
      </c>
      <c r="D4" s="7"/>
      <c r="E4" s="7"/>
      <c r="F4" s="7"/>
      <c r="G4" s="7"/>
      <c r="H4" s="7"/>
      <c r="I4" s="7"/>
      <c r="J4" s="7"/>
      <c r="K4" s="49">
        <v>150000</v>
      </c>
      <c r="L4" s="7"/>
      <c r="M4" s="7"/>
      <c r="N4" s="7"/>
      <c r="O4" s="7"/>
      <c r="P4" s="7"/>
      <c r="Q4" s="7"/>
      <c r="R4" s="7"/>
      <c r="S4" s="70">
        <f>(Table1437[[#This Row],[Commercial Bid Price per case for NOI ($)]]-Table1437[[#This Row],[Pass-Thru Value per case ($)]])+Table1437[[#This Row],[Region 1: Fixed Fee Per Case ($)]]</f>
        <v>0</v>
      </c>
      <c r="T4" s="71" t="e">
        <f>(Table1437[[#This Row],[Commercial Bid Price per case for NOI ($)]]+Table1437[[#This Row],[Region 1: Fixed Fee Per Case ($)]])/Table1437[[#This Row],['# of CN Servings per case]]</f>
        <v>#DIV/0!</v>
      </c>
      <c r="U4" s="71" t="e">
        <f>Table1437[[#This Row],[Total Cost Per Serving (O+P)/J]]*Table1437[[#This Row],[Estimated Servings Annual]]</f>
        <v>#DIV/0!</v>
      </c>
      <c r="V4" s="70">
        <f>(Table1437[[#This Row],[Commercial Bid Price per case for NOI ($)]]-Table1437[[#This Row],[Pass-Thru Value per case ($)]])+Table1437[[#This Row],[Region 2: Fixed Fee Per Case ($)]]</f>
        <v>0</v>
      </c>
      <c r="W4" s="71" t="e">
        <f>(Table1437[[#This Row],[Commercial Bid Price per case for NOI ($)]]+Table1437[[#This Row],[Region 2: Fixed Fee Per Case ($)]])/Table1437[[#This Row],['# of CN Servings per case]]</f>
        <v>#DIV/0!</v>
      </c>
      <c r="X4" s="72" t="e">
        <f>Table1437[[#This Row],[Total Cost Per Serving (O+Q)/J]]*Table1437[[#This Row],[Estimated Servings Annual]]</f>
        <v>#DIV/0!</v>
      </c>
    </row>
    <row r="5" spans="1:24" x14ac:dyDescent="0.35">
      <c r="A5" s="30" t="s">
        <v>37</v>
      </c>
      <c r="B5" s="28" t="s">
        <v>117</v>
      </c>
      <c r="C5" s="7" t="s">
        <v>132</v>
      </c>
      <c r="D5" s="7"/>
      <c r="E5" s="7"/>
      <c r="F5" s="7"/>
      <c r="G5" s="7"/>
      <c r="H5" s="7"/>
      <c r="I5" s="7"/>
      <c r="J5" s="7"/>
      <c r="K5" s="49">
        <v>150000</v>
      </c>
      <c r="L5" s="7"/>
      <c r="M5" s="7"/>
      <c r="N5" s="7"/>
      <c r="O5" s="7"/>
      <c r="P5" s="7"/>
      <c r="Q5" s="7"/>
      <c r="R5" s="7"/>
      <c r="S5" s="70">
        <f>(Table1437[[#This Row],[Commercial Bid Price per case for NOI ($)]]-Table1437[[#This Row],[Pass-Thru Value per case ($)]])+Table1437[[#This Row],[Region 1: Fixed Fee Per Case ($)]]</f>
        <v>0</v>
      </c>
      <c r="T5" s="71" t="e">
        <f>(Table1437[[#This Row],[Commercial Bid Price per case for NOI ($)]]+Table1437[[#This Row],[Region 1: Fixed Fee Per Case ($)]])/Table1437[[#This Row],['# of CN Servings per case]]</f>
        <v>#DIV/0!</v>
      </c>
      <c r="U5" s="71" t="e">
        <f>Table1437[[#This Row],[Total Cost Per Serving (O+P)/J]]*Table1437[[#This Row],[Estimated Servings Annual]]</f>
        <v>#DIV/0!</v>
      </c>
      <c r="V5" s="70">
        <f>(Table1437[[#This Row],[Commercial Bid Price per case for NOI ($)]]-Table1437[[#This Row],[Pass-Thru Value per case ($)]])+Table1437[[#This Row],[Region 2: Fixed Fee Per Case ($)]]</f>
        <v>0</v>
      </c>
      <c r="W5" s="71" t="e">
        <f>(Table1437[[#This Row],[Commercial Bid Price per case for NOI ($)]]+Table1437[[#This Row],[Region 2: Fixed Fee Per Case ($)]])/Table1437[[#This Row],['# of CN Servings per case]]</f>
        <v>#DIV/0!</v>
      </c>
      <c r="X5" s="72" t="e">
        <f>Table1437[[#This Row],[Total Cost Per Serving (O+Q)/J]]*Table1437[[#This Row],[Estimated Servings Annual]]</f>
        <v>#DIV/0!</v>
      </c>
    </row>
    <row r="6" spans="1:24" x14ac:dyDescent="0.35">
      <c r="A6" s="30" t="s">
        <v>37</v>
      </c>
      <c r="B6" s="28" t="s">
        <v>117</v>
      </c>
      <c r="C6" s="7" t="s">
        <v>132</v>
      </c>
      <c r="D6" s="7"/>
      <c r="E6" s="7"/>
      <c r="F6" s="7"/>
      <c r="G6" s="7"/>
      <c r="H6" s="7"/>
      <c r="I6" s="7"/>
      <c r="J6" s="7"/>
      <c r="K6" s="49">
        <v>150000</v>
      </c>
      <c r="L6" s="7"/>
      <c r="M6" s="7"/>
      <c r="N6" s="7"/>
      <c r="O6" s="7"/>
      <c r="P6" s="7"/>
      <c r="Q6" s="7"/>
      <c r="R6" s="7"/>
      <c r="S6" s="70">
        <f>(Table1437[[#This Row],[Commercial Bid Price per case for NOI ($)]]-Table1437[[#This Row],[Pass-Thru Value per case ($)]])+Table1437[[#This Row],[Region 1: Fixed Fee Per Case ($)]]</f>
        <v>0</v>
      </c>
      <c r="T6" s="71" t="e">
        <f>(Table1437[[#This Row],[Commercial Bid Price per case for NOI ($)]]+Table1437[[#This Row],[Region 1: Fixed Fee Per Case ($)]])/Table1437[[#This Row],['# of CN Servings per case]]</f>
        <v>#DIV/0!</v>
      </c>
      <c r="U6" s="71" t="e">
        <f>Table1437[[#This Row],[Total Cost Per Serving (O+P)/J]]*Table1437[[#This Row],[Estimated Servings Annual]]</f>
        <v>#DIV/0!</v>
      </c>
      <c r="V6" s="70">
        <f>(Table1437[[#This Row],[Commercial Bid Price per case for NOI ($)]]-Table1437[[#This Row],[Pass-Thru Value per case ($)]])+Table1437[[#This Row],[Region 2: Fixed Fee Per Case ($)]]</f>
        <v>0</v>
      </c>
      <c r="W6" s="71" t="e">
        <f>(Table1437[[#This Row],[Commercial Bid Price per case for NOI ($)]]+Table1437[[#This Row],[Region 2: Fixed Fee Per Case ($)]])/Table1437[[#This Row],['# of CN Servings per case]]</f>
        <v>#DIV/0!</v>
      </c>
      <c r="X6" s="72" t="e">
        <f>Table1437[[#This Row],[Total Cost Per Serving (O+Q)/J]]*Table1437[[#This Row],[Estimated Servings Annual]]</f>
        <v>#DIV/0!</v>
      </c>
    </row>
    <row r="7" spans="1:24" x14ac:dyDescent="0.35">
      <c r="A7" s="30" t="s">
        <v>37</v>
      </c>
      <c r="B7" s="28" t="s">
        <v>117</v>
      </c>
      <c r="C7" s="7" t="s">
        <v>52</v>
      </c>
      <c r="D7" s="7"/>
      <c r="E7" s="7"/>
      <c r="F7" s="7"/>
      <c r="G7" s="7"/>
      <c r="H7" s="7"/>
      <c r="I7" s="7"/>
      <c r="J7" s="7"/>
      <c r="K7" s="49">
        <v>150000</v>
      </c>
      <c r="L7" s="7"/>
      <c r="M7" s="7"/>
      <c r="N7" s="7"/>
      <c r="O7" s="7"/>
      <c r="P7" s="7"/>
      <c r="Q7" s="7"/>
      <c r="R7" s="7"/>
      <c r="S7" s="70">
        <f>(Table1437[[#This Row],[Commercial Bid Price per case for NOI ($)]]-Table1437[[#This Row],[Pass-Thru Value per case ($)]])+Table1437[[#This Row],[Region 1: Fixed Fee Per Case ($)]]</f>
        <v>0</v>
      </c>
      <c r="T7" s="71" t="e">
        <f>(Table1437[[#This Row],[Commercial Bid Price per case for NOI ($)]]+Table1437[[#This Row],[Region 1: Fixed Fee Per Case ($)]])/Table1437[[#This Row],['# of CN Servings per case]]</f>
        <v>#DIV/0!</v>
      </c>
      <c r="U7" s="71" t="e">
        <f>Table1437[[#This Row],[Total Cost Per Serving (O+P)/J]]*Table1437[[#This Row],[Estimated Servings Annual]]</f>
        <v>#DIV/0!</v>
      </c>
      <c r="V7" s="70">
        <f>(Table1437[[#This Row],[Commercial Bid Price per case for NOI ($)]]-Table1437[[#This Row],[Pass-Thru Value per case ($)]])+Table1437[[#This Row],[Region 2: Fixed Fee Per Case ($)]]</f>
        <v>0</v>
      </c>
      <c r="W7" s="71" t="e">
        <f>(Table1437[[#This Row],[Commercial Bid Price per case for NOI ($)]]+Table1437[[#This Row],[Region 2: Fixed Fee Per Case ($)]])/Table1437[[#This Row],['# of CN Servings per case]]</f>
        <v>#DIV/0!</v>
      </c>
      <c r="X7" s="72" t="e">
        <f>Table1437[[#This Row],[Total Cost Per Serving (O+Q)/J]]*Table1437[[#This Row],[Estimated Servings Annual]]</f>
        <v>#DIV/0!</v>
      </c>
    </row>
    <row r="8" spans="1:24" x14ac:dyDescent="0.35">
      <c r="A8" s="30" t="s">
        <v>37</v>
      </c>
      <c r="B8" s="28" t="s">
        <v>117</v>
      </c>
      <c r="C8" s="7" t="s">
        <v>52</v>
      </c>
      <c r="D8" s="7"/>
      <c r="E8" s="7"/>
      <c r="F8" s="7"/>
      <c r="G8" s="7"/>
      <c r="H8" s="7"/>
      <c r="I8" s="7"/>
      <c r="J8" s="7"/>
      <c r="K8" s="49">
        <v>150000</v>
      </c>
      <c r="L8" s="7"/>
      <c r="M8" s="7"/>
      <c r="N8" s="7"/>
      <c r="O8" s="7"/>
      <c r="P8" s="7"/>
      <c r="Q8" s="7"/>
      <c r="R8" s="7"/>
      <c r="S8" s="70">
        <f>(Table1437[[#This Row],[Commercial Bid Price per case for NOI ($)]]-Table1437[[#This Row],[Pass-Thru Value per case ($)]])+Table1437[[#This Row],[Region 1: Fixed Fee Per Case ($)]]</f>
        <v>0</v>
      </c>
      <c r="T8" s="71" t="e">
        <f>(Table1437[[#This Row],[Commercial Bid Price per case for NOI ($)]]+Table1437[[#This Row],[Region 1: Fixed Fee Per Case ($)]])/Table1437[[#This Row],['# of CN Servings per case]]</f>
        <v>#DIV/0!</v>
      </c>
      <c r="U8" s="71" t="e">
        <f>Table1437[[#This Row],[Total Cost Per Serving (O+P)/J]]*Table1437[[#This Row],[Estimated Servings Annual]]</f>
        <v>#DIV/0!</v>
      </c>
      <c r="V8" s="70">
        <f>(Table1437[[#This Row],[Commercial Bid Price per case for NOI ($)]]-Table1437[[#This Row],[Pass-Thru Value per case ($)]])+Table1437[[#This Row],[Region 2: Fixed Fee Per Case ($)]]</f>
        <v>0</v>
      </c>
      <c r="W8" s="71" t="e">
        <f>(Table1437[[#This Row],[Commercial Bid Price per case for NOI ($)]]+Table1437[[#This Row],[Region 2: Fixed Fee Per Case ($)]])/Table1437[[#This Row],['# of CN Servings per case]]</f>
        <v>#DIV/0!</v>
      </c>
      <c r="X8" s="72" t="e">
        <f>Table1437[[#This Row],[Total Cost Per Serving (O+Q)/J]]*Table1437[[#This Row],[Estimated Servings Annual]]</f>
        <v>#DIV/0!</v>
      </c>
    </row>
    <row r="9" spans="1:24" x14ac:dyDescent="0.35">
      <c r="A9" s="30" t="s">
        <v>37</v>
      </c>
      <c r="B9" s="28" t="s">
        <v>117</v>
      </c>
      <c r="C9" s="7" t="s">
        <v>13</v>
      </c>
      <c r="D9" s="7"/>
      <c r="E9" s="7"/>
      <c r="F9" s="7"/>
      <c r="G9" s="7"/>
      <c r="H9" s="7"/>
      <c r="I9" s="7"/>
      <c r="J9" s="7"/>
      <c r="K9" s="49">
        <v>150000</v>
      </c>
      <c r="L9" s="7"/>
      <c r="M9" s="7"/>
      <c r="N9" s="7"/>
      <c r="O9" s="7"/>
      <c r="P9" s="7"/>
      <c r="Q9" s="7"/>
      <c r="R9" s="7"/>
      <c r="S9" s="70">
        <f>(Table1437[[#This Row],[Commercial Bid Price per case for NOI ($)]]-Table1437[[#This Row],[Pass-Thru Value per case ($)]])+Table1437[[#This Row],[Region 1: Fixed Fee Per Case ($)]]</f>
        <v>0</v>
      </c>
      <c r="T9" s="71" t="e">
        <f>(Table1437[[#This Row],[Commercial Bid Price per case for NOI ($)]]+Table1437[[#This Row],[Region 1: Fixed Fee Per Case ($)]])/Table1437[[#This Row],['# of CN Servings per case]]</f>
        <v>#DIV/0!</v>
      </c>
      <c r="U9" s="71" t="e">
        <f>Table1437[[#This Row],[Total Cost Per Serving (O+P)/J]]*Table1437[[#This Row],[Estimated Servings Annual]]</f>
        <v>#DIV/0!</v>
      </c>
      <c r="V9" s="70">
        <f>(Table1437[[#This Row],[Commercial Bid Price per case for NOI ($)]]-Table1437[[#This Row],[Pass-Thru Value per case ($)]])+Table1437[[#This Row],[Region 2: Fixed Fee Per Case ($)]]</f>
        <v>0</v>
      </c>
      <c r="W9" s="71" t="e">
        <f>(Table1437[[#This Row],[Commercial Bid Price per case for NOI ($)]]+Table1437[[#This Row],[Region 2: Fixed Fee Per Case ($)]])/Table1437[[#This Row],['# of CN Servings per case]]</f>
        <v>#DIV/0!</v>
      </c>
      <c r="X9" s="72" t="e">
        <f>Table1437[[#This Row],[Total Cost Per Serving (O+Q)/J]]*Table1437[[#This Row],[Estimated Servings Annual]]</f>
        <v>#DIV/0!</v>
      </c>
    </row>
    <row r="10" spans="1:24" ht="15" thickBot="1" x14ac:dyDescent="0.4">
      <c r="A10" s="30" t="s">
        <v>37</v>
      </c>
      <c r="B10" s="28" t="s">
        <v>117</v>
      </c>
      <c r="C10" s="27" t="s">
        <v>13</v>
      </c>
      <c r="D10" s="8"/>
      <c r="E10" s="8"/>
      <c r="F10" s="8"/>
      <c r="G10" s="8"/>
      <c r="H10" s="8"/>
      <c r="I10" s="8"/>
      <c r="J10" s="8"/>
      <c r="K10" s="50">
        <v>150000</v>
      </c>
      <c r="L10" s="8"/>
      <c r="M10" s="8"/>
      <c r="N10" s="8"/>
      <c r="O10" s="8"/>
      <c r="P10" s="8"/>
      <c r="Q10" s="8"/>
      <c r="R10" s="8"/>
      <c r="S10" s="73">
        <f>(Table1437[[#This Row],[Commercial Bid Price per case for NOI ($)]]-Table1437[[#This Row],[Pass-Thru Value per case ($)]])+Table1437[[#This Row],[Region 1: Fixed Fee Per Case ($)]]</f>
        <v>0</v>
      </c>
      <c r="T10" s="74" t="e">
        <f>(Table1437[[#This Row],[Commercial Bid Price per case for NOI ($)]]+Table1437[[#This Row],[Region 1: Fixed Fee Per Case ($)]])/Table1437[[#This Row],['# of CN Servings per case]]</f>
        <v>#DIV/0!</v>
      </c>
      <c r="U10" s="74" t="e">
        <f>Table1437[[#This Row],[Total Cost Per Serving (O+P)/J]]*Table1437[[#This Row],[Estimated Servings Annual]]</f>
        <v>#DIV/0!</v>
      </c>
      <c r="V10" s="73">
        <f>(Table1437[[#This Row],[Commercial Bid Price per case for NOI ($)]]-Table1437[[#This Row],[Pass-Thru Value per case ($)]])+Table1437[[#This Row],[Region 2: Fixed Fee Per Case ($)]]</f>
        <v>0</v>
      </c>
      <c r="W10" s="74" t="e">
        <f>(Table1437[[#This Row],[Commercial Bid Price per case for NOI ($)]]+Table1437[[#This Row],[Region 2: Fixed Fee Per Case ($)]])/Table1437[[#This Row],['# of CN Servings per case]]</f>
        <v>#DIV/0!</v>
      </c>
      <c r="X10" s="75" t="e">
        <f>Table1437[[#This Row],[Total Cost Per Serving (O+Q)/J]]*Table1437[[#This Row],[Estimated Servings Annual]]</f>
        <v>#DIV/0!</v>
      </c>
    </row>
    <row r="11" spans="1:24" x14ac:dyDescent="0.35">
      <c r="A11" s="30" t="s">
        <v>37</v>
      </c>
      <c r="B11" s="42" t="s">
        <v>119</v>
      </c>
      <c r="C11" s="6" t="s">
        <v>51</v>
      </c>
      <c r="D11" s="6"/>
      <c r="E11" s="6"/>
      <c r="F11" s="6"/>
      <c r="G11" s="6"/>
      <c r="H11" s="6"/>
      <c r="I11" s="6"/>
      <c r="J11" s="6"/>
      <c r="K11" s="48">
        <v>200000</v>
      </c>
      <c r="L11" s="6"/>
      <c r="M11" s="6"/>
      <c r="N11" s="6"/>
      <c r="O11" s="6"/>
      <c r="P11" s="6"/>
      <c r="Q11" s="6"/>
      <c r="R11" s="6"/>
      <c r="S11" s="67">
        <f>(Table1437[[#This Row],[Commercial Bid Price per case for NOI ($)]]-Table1437[[#This Row],[Pass-Thru Value per case ($)]])+Table1437[[#This Row],[Region 1: Fixed Fee Per Case ($)]]</f>
        <v>0</v>
      </c>
      <c r="T11" s="68" t="e">
        <f>(Table1437[[#This Row],[Commercial Bid Price per case for NOI ($)]]+Table1437[[#This Row],[Region 1: Fixed Fee Per Case ($)]])/Table1437[[#This Row],['# of CN Servings per case]]</f>
        <v>#DIV/0!</v>
      </c>
      <c r="U11" s="68" t="e">
        <f>Table1437[[#This Row],[Total Cost Per Serving (O+P)/J]]*Table1437[[#This Row],[Estimated Servings Annual]]</f>
        <v>#DIV/0!</v>
      </c>
      <c r="V11" s="67">
        <f>(Table1437[[#This Row],[Commercial Bid Price per case for NOI ($)]]-Table1437[[#This Row],[Pass-Thru Value per case ($)]])+Table1437[[#This Row],[Region 2: Fixed Fee Per Case ($)]]</f>
        <v>0</v>
      </c>
      <c r="W11" s="68" t="e">
        <f>(Table1437[[#This Row],[Commercial Bid Price per case for NOI ($)]]+Table1437[[#This Row],[Region 2: Fixed Fee Per Case ($)]])/Table1437[[#This Row],['# of CN Servings per case]]</f>
        <v>#DIV/0!</v>
      </c>
      <c r="X11" s="69" t="e">
        <f>Table1437[[#This Row],[Total Cost Per Serving (O+Q)/J]]*Table1437[[#This Row],[Estimated Servings Annual]]</f>
        <v>#DIV/0!</v>
      </c>
    </row>
    <row r="12" spans="1:24" x14ac:dyDescent="0.35">
      <c r="A12" s="30" t="s">
        <v>37</v>
      </c>
      <c r="B12" s="28" t="s">
        <v>119</v>
      </c>
      <c r="C12" s="7" t="s">
        <v>51</v>
      </c>
      <c r="D12" s="7"/>
      <c r="E12" s="7"/>
      <c r="F12" s="7"/>
      <c r="G12" s="7"/>
      <c r="H12" s="7"/>
      <c r="I12" s="7"/>
      <c r="J12" s="7"/>
      <c r="K12" s="49">
        <v>200000</v>
      </c>
      <c r="L12" s="7"/>
      <c r="M12" s="7"/>
      <c r="N12" s="7"/>
      <c r="O12" s="7"/>
      <c r="P12" s="7"/>
      <c r="Q12" s="7"/>
      <c r="R12" s="7"/>
      <c r="S12" s="70">
        <f>(Table1437[[#This Row],[Commercial Bid Price per case for NOI ($)]]-Table1437[[#This Row],[Pass-Thru Value per case ($)]])+Table1437[[#This Row],[Region 1: Fixed Fee Per Case ($)]]</f>
        <v>0</v>
      </c>
      <c r="T12" s="71" t="e">
        <f>(Table1437[[#This Row],[Commercial Bid Price per case for NOI ($)]]+Table1437[[#This Row],[Region 1: Fixed Fee Per Case ($)]])/Table1437[[#This Row],['# of CN Servings per case]]</f>
        <v>#DIV/0!</v>
      </c>
      <c r="U12" s="71" t="e">
        <f>Table1437[[#This Row],[Total Cost Per Serving (O+P)/J]]*Table1437[[#This Row],[Estimated Servings Annual]]</f>
        <v>#DIV/0!</v>
      </c>
      <c r="V12" s="70">
        <f>(Table1437[[#This Row],[Commercial Bid Price per case for NOI ($)]]-Table1437[[#This Row],[Pass-Thru Value per case ($)]])+Table1437[[#This Row],[Region 2: Fixed Fee Per Case ($)]]</f>
        <v>0</v>
      </c>
      <c r="W12" s="71" t="e">
        <f>(Table1437[[#This Row],[Commercial Bid Price per case for NOI ($)]]+Table1437[[#This Row],[Region 2: Fixed Fee Per Case ($)]])/Table1437[[#This Row],['# of CN Servings per case]]</f>
        <v>#DIV/0!</v>
      </c>
      <c r="X12" s="72" t="e">
        <f>Table1437[[#This Row],[Total Cost Per Serving (O+Q)/J]]*Table1437[[#This Row],[Estimated Servings Annual]]</f>
        <v>#DIV/0!</v>
      </c>
    </row>
    <row r="13" spans="1:24" x14ac:dyDescent="0.35">
      <c r="A13" s="30" t="s">
        <v>37</v>
      </c>
      <c r="B13" s="28" t="s">
        <v>119</v>
      </c>
      <c r="C13" s="7" t="s">
        <v>132</v>
      </c>
      <c r="D13" s="7"/>
      <c r="E13" s="7"/>
      <c r="F13" s="7"/>
      <c r="G13" s="7"/>
      <c r="H13" s="7"/>
      <c r="I13" s="7"/>
      <c r="J13" s="7"/>
      <c r="K13" s="49">
        <v>200000</v>
      </c>
      <c r="L13" s="7"/>
      <c r="M13" s="7"/>
      <c r="N13" s="7"/>
      <c r="O13" s="7"/>
      <c r="P13" s="7"/>
      <c r="Q13" s="7"/>
      <c r="R13" s="7"/>
      <c r="S13" s="70">
        <f>(Table1437[[#This Row],[Commercial Bid Price per case for NOI ($)]]-Table1437[[#This Row],[Pass-Thru Value per case ($)]])+Table1437[[#This Row],[Region 1: Fixed Fee Per Case ($)]]</f>
        <v>0</v>
      </c>
      <c r="T13" s="71" t="e">
        <f>(Table1437[[#This Row],[Commercial Bid Price per case for NOI ($)]]+Table1437[[#This Row],[Region 1: Fixed Fee Per Case ($)]])/Table1437[[#This Row],['# of CN Servings per case]]</f>
        <v>#DIV/0!</v>
      </c>
      <c r="U13" s="71" t="e">
        <f>Table1437[[#This Row],[Total Cost Per Serving (O+P)/J]]*Table1437[[#This Row],[Estimated Servings Annual]]</f>
        <v>#DIV/0!</v>
      </c>
      <c r="V13" s="70">
        <f>(Table1437[[#This Row],[Commercial Bid Price per case for NOI ($)]]-Table1437[[#This Row],[Pass-Thru Value per case ($)]])+Table1437[[#This Row],[Region 2: Fixed Fee Per Case ($)]]</f>
        <v>0</v>
      </c>
      <c r="W13" s="71" t="e">
        <f>(Table1437[[#This Row],[Commercial Bid Price per case for NOI ($)]]+Table1437[[#This Row],[Region 2: Fixed Fee Per Case ($)]])/Table1437[[#This Row],['# of CN Servings per case]]</f>
        <v>#DIV/0!</v>
      </c>
      <c r="X13" s="72" t="e">
        <f>Table1437[[#This Row],[Total Cost Per Serving (O+Q)/J]]*Table1437[[#This Row],[Estimated Servings Annual]]</f>
        <v>#DIV/0!</v>
      </c>
    </row>
    <row r="14" spans="1:24" x14ac:dyDescent="0.35">
      <c r="A14" s="30" t="s">
        <v>37</v>
      </c>
      <c r="B14" s="28" t="s">
        <v>119</v>
      </c>
      <c r="C14" s="7" t="s">
        <v>132</v>
      </c>
      <c r="D14" s="7"/>
      <c r="E14" s="7"/>
      <c r="F14" s="7"/>
      <c r="G14" s="7"/>
      <c r="H14" s="7"/>
      <c r="I14" s="7"/>
      <c r="J14" s="7"/>
      <c r="K14" s="49">
        <v>200000</v>
      </c>
      <c r="L14" s="7"/>
      <c r="M14" s="7"/>
      <c r="N14" s="7"/>
      <c r="O14" s="7"/>
      <c r="P14" s="7"/>
      <c r="Q14" s="7"/>
      <c r="R14" s="7"/>
      <c r="S14" s="70">
        <f>(Table1437[[#This Row],[Commercial Bid Price per case for NOI ($)]]-Table1437[[#This Row],[Pass-Thru Value per case ($)]])+Table1437[[#This Row],[Region 1: Fixed Fee Per Case ($)]]</f>
        <v>0</v>
      </c>
      <c r="T14" s="71" t="e">
        <f>(Table1437[[#This Row],[Commercial Bid Price per case for NOI ($)]]+Table1437[[#This Row],[Region 1: Fixed Fee Per Case ($)]])/Table1437[[#This Row],['# of CN Servings per case]]</f>
        <v>#DIV/0!</v>
      </c>
      <c r="U14" s="71" t="e">
        <f>Table1437[[#This Row],[Total Cost Per Serving (O+P)/J]]*Table1437[[#This Row],[Estimated Servings Annual]]</f>
        <v>#DIV/0!</v>
      </c>
      <c r="V14" s="70">
        <f>(Table1437[[#This Row],[Commercial Bid Price per case for NOI ($)]]-Table1437[[#This Row],[Pass-Thru Value per case ($)]])+Table1437[[#This Row],[Region 2: Fixed Fee Per Case ($)]]</f>
        <v>0</v>
      </c>
      <c r="W14" s="71" t="e">
        <f>(Table1437[[#This Row],[Commercial Bid Price per case for NOI ($)]]+Table1437[[#This Row],[Region 2: Fixed Fee Per Case ($)]])/Table1437[[#This Row],['# of CN Servings per case]]</f>
        <v>#DIV/0!</v>
      </c>
      <c r="X14" s="72" t="e">
        <f>Table1437[[#This Row],[Total Cost Per Serving (O+Q)/J]]*Table1437[[#This Row],[Estimated Servings Annual]]</f>
        <v>#DIV/0!</v>
      </c>
    </row>
    <row r="15" spans="1:24" x14ac:dyDescent="0.35">
      <c r="A15" s="30" t="s">
        <v>37</v>
      </c>
      <c r="B15" s="28" t="s">
        <v>119</v>
      </c>
      <c r="C15" s="7" t="s">
        <v>52</v>
      </c>
      <c r="D15" s="7"/>
      <c r="E15" s="7"/>
      <c r="F15" s="7"/>
      <c r="G15" s="7"/>
      <c r="H15" s="7"/>
      <c r="I15" s="7"/>
      <c r="J15" s="7"/>
      <c r="K15" s="49">
        <v>200000</v>
      </c>
      <c r="L15" s="7"/>
      <c r="M15" s="7"/>
      <c r="N15" s="7"/>
      <c r="O15" s="7"/>
      <c r="P15" s="7"/>
      <c r="Q15" s="7"/>
      <c r="R15" s="7"/>
      <c r="S15" s="70">
        <f>(Table1437[[#This Row],[Commercial Bid Price per case for NOI ($)]]-Table1437[[#This Row],[Pass-Thru Value per case ($)]])+Table1437[[#This Row],[Region 1: Fixed Fee Per Case ($)]]</f>
        <v>0</v>
      </c>
      <c r="T15" s="71" t="e">
        <f>(Table1437[[#This Row],[Commercial Bid Price per case for NOI ($)]]+Table1437[[#This Row],[Region 1: Fixed Fee Per Case ($)]])/Table1437[[#This Row],['# of CN Servings per case]]</f>
        <v>#DIV/0!</v>
      </c>
      <c r="U15" s="71" t="e">
        <f>Table1437[[#This Row],[Total Cost Per Serving (O+P)/J]]*Table1437[[#This Row],[Estimated Servings Annual]]</f>
        <v>#DIV/0!</v>
      </c>
      <c r="V15" s="70">
        <f>(Table1437[[#This Row],[Commercial Bid Price per case for NOI ($)]]-Table1437[[#This Row],[Pass-Thru Value per case ($)]])+Table1437[[#This Row],[Region 2: Fixed Fee Per Case ($)]]</f>
        <v>0</v>
      </c>
      <c r="W15" s="71" t="e">
        <f>(Table1437[[#This Row],[Commercial Bid Price per case for NOI ($)]]+Table1437[[#This Row],[Region 2: Fixed Fee Per Case ($)]])/Table1437[[#This Row],['# of CN Servings per case]]</f>
        <v>#DIV/0!</v>
      </c>
      <c r="X15" s="72" t="e">
        <f>Table1437[[#This Row],[Total Cost Per Serving (O+Q)/J]]*Table1437[[#This Row],[Estimated Servings Annual]]</f>
        <v>#DIV/0!</v>
      </c>
    </row>
    <row r="16" spans="1:24" x14ac:dyDescent="0.35">
      <c r="A16" s="30" t="s">
        <v>37</v>
      </c>
      <c r="B16" s="28" t="s">
        <v>119</v>
      </c>
      <c r="C16" s="7" t="s">
        <v>52</v>
      </c>
      <c r="D16" s="7"/>
      <c r="E16" s="7"/>
      <c r="F16" s="7"/>
      <c r="G16" s="7"/>
      <c r="H16" s="7"/>
      <c r="I16" s="7"/>
      <c r="J16" s="7"/>
      <c r="K16" s="49">
        <v>200000</v>
      </c>
      <c r="L16" s="7"/>
      <c r="M16" s="7"/>
      <c r="N16" s="7"/>
      <c r="O16" s="7"/>
      <c r="P16" s="7"/>
      <c r="Q16" s="7"/>
      <c r="R16" s="7"/>
      <c r="S16" s="70">
        <f>(Table1437[[#This Row],[Commercial Bid Price per case for NOI ($)]]-Table1437[[#This Row],[Pass-Thru Value per case ($)]])+Table1437[[#This Row],[Region 1: Fixed Fee Per Case ($)]]</f>
        <v>0</v>
      </c>
      <c r="T16" s="71" t="e">
        <f>(Table1437[[#This Row],[Commercial Bid Price per case for NOI ($)]]+Table1437[[#This Row],[Region 1: Fixed Fee Per Case ($)]])/Table1437[[#This Row],['# of CN Servings per case]]</f>
        <v>#DIV/0!</v>
      </c>
      <c r="U16" s="71" t="e">
        <f>Table1437[[#This Row],[Total Cost Per Serving (O+P)/J]]*Table1437[[#This Row],[Estimated Servings Annual]]</f>
        <v>#DIV/0!</v>
      </c>
      <c r="V16" s="70">
        <f>(Table1437[[#This Row],[Commercial Bid Price per case for NOI ($)]]-Table1437[[#This Row],[Pass-Thru Value per case ($)]])+Table1437[[#This Row],[Region 2: Fixed Fee Per Case ($)]]</f>
        <v>0</v>
      </c>
      <c r="W16" s="71" t="e">
        <f>(Table1437[[#This Row],[Commercial Bid Price per case for NOI ($)]]+Table1437[[#This Row],[Region 2: Fixed Fee Per Case ($)]])/Table1437[[#This Row],['# of CN Servings per case]]</f>
        <v>#DIV/0!</v>
      </c>
      <c r="X16" s="72" t="e">
        <f>Table1437[[#This Row],[Total Cost Per Serving (O+Q)/J]]*Table1437[[#This Row],[Estimated Servings Annual]]</f>
        <v>#DIV/0!</v>
      </c>
    </row>
    <row r="17" spans="1:24" x14ac:dyDescent="0.35">
      <c r="A17" s="30" t="s">
        <v>37</v>
      </c>
      <c r="B17" s="28" t="s">
        <v>119</v>
      </c>
      <c r="C17" s="7" t="s">
        <v>13</v>
      </c>
      <c r="D17" s="7"/>
      <c r="E17" s="7"/>
      <c r="F17" s="7"/>
      <c r="G17" s="7"/>
      <c r="H17" s="7"/>
      <c r="I17" s="7"/>
      <c r="J17" s="7"/>
      <c r="K17" s="49">
        <v>200000</v>
      </c>
      <c r="L17" s="7"/>
      <c r="M17" s="7"/>
      <c r="N17" s="7"/>
      <c r="O17" s="7"/>
      <c r="P17" s="7"/>
      <c r="Q17" s="7"/>
      <c r="R17" s="7"/>
      <c r="S17" s="70">
        <f>(Table1437[[#This Row],[Commercial Bid Price per case for NOI ($)]]-Table1437[[#This Row],[Pass-Thru Value per case ($)]])+Table1437[[#This Row],[Region 1: Fixed Fee Per Case ($)]]</f>
        <v>0</v>
      </c>
      <c r="T17" s="71" t="e">
        <f>(Table1437[[#This Row],[Commercial Bid Price per case for NOI ($)]]+Table1437[[#This Row],[Region 1: Fixed Fee Per Case ($)]])/Table1437[[#This Row],['# of CN Servings per case]]</f>
        <v>#DIV/0!</v>
      </c>
      <c r="U17" s="71" t="e">
        <f>Table1437[[#This Row],[Total Cost Per Serving (O+P)/J]]*Table1437[[#This Row],[Estimated Servings Annual]]</f>
        <v>#DIV/0!</v>
      </c>
      <c r="V17" s="70">
        <f>(Table1437[[#This Row],[Commercial Bid Price per case for NOI ($)]]-Table1437[[#This Row],[Pass-Thru Value per case ($)]])+Table1437[[#This Row],[Region 2: Fixed Fee Per Case ($)]]</f>
        <v>0</v>
      </c>
      <c r="W17" s="71" t="e">
        <f>(Table1437[[#This Row],[Commercial Bid Price per case for NOI ($)]]+Table1437[[#This Row],[Region 2: Fixed Fee Per Case ($)]])/Table1437[[#This Row],['# of CN Servings per case]]</f>
        <v>#DIV/0!</v>
      </c>
      <c r="X17" s="72" t="e">
        <f>Table1437[[#This Row],[Total Cost Per Serving (O+Q)/J]]*Table1437[[#This Row],[Estimated Servings Annual]]</f>
        <v>#DIV/0!</v>
      </c>
    </row>
    <row r="18" spans="1:24" ht="15" thickBot="1" x14ac:dyDescent="0.4">
      <c r="A18" s="30" t="s">
        <v>37</v>
      </c>
      <c r="B18" s="28" t="s">
        <v>119</v>
      </c>
      <c r="C18" s="27" t="s">
        <v>13</v>
      </c>
      <c r="D18" s="8"/>
      <c r="E18" s="8"/>
      <c r="F18" s="8"/>
      <c r="G18" s="8"/>
      <c r="H18" s="8"/>
      <c r="I18" s="8"/>
      <c r="J18" s="8"/>
      <c r="K18" s="50">
        <v>200000</v>
      </c>
      <c r="L18" s="8"/>
      <c r="M18" s="8"/>
      <c r="N18" s="8"/>
      <c r="O18" s="8"/>
      <c r="P18" s="8"/>
      <c r="Q18" s="8"/>
      <c r="R18" s="8"/>
      <c r="S18" s="73">
        <f>(Table1437[[#This Row],[Commercial Bid Price per case for NOI ($)]]-Table1437[[#This Row],[Pass-Thru Value per case ($)]])+Table1437[[#This Row],[Region 1: Fixed Fee Per Case ($)]]</f>
        <v>0</v>
      </c>
      <c r="T18" s="74" t="e">
        <f>(Table1437[[#This Row],[Commercial Bid Price per case for NOI ($)]]+Table1437[[#This Row],[Region 1: Fixed Fee Per Case ($)]])/Table1437[[#This Row],['# of CN Servings per case]]</f>
        <v>#DIV/0!</v>
      </c>
      <c r="U18" s="74" t="e">
        <f>Table1437[[#This Row],[Total Cost Per Serving (O+P)/J]]*Table1437[[#This Row],[Estimated Servings Annual]]</f>
        <v>#DIV/0!</v>
      </c>
      <c r="V18" s="73">
        <f>(Table1437[[#This Row],[Commercial Bid Price per case for NOI ($)]]-Table1437[[#This Row],[Pass-Thru Value per case ($)]])+Table1437[[#This Row],[Region 2: Fixed Fee Per Case ($)]]</f>
        <v>0</v>
      </c>
      <c r="W18" s="74" t="e">
        <f>(Table1437[[#This Row],[Commercial Bid Price per case for NOI ($)]]+Table1437[[#This Row],[Region 2: Fixed Fee Per Case ($)]])/Table1437[[#This Row],['# of CN Servings per case]]</f>
        <v>#DIV/0!</v>
      </c>
      <c r="X18" s="75" t="e">
        <f>Table1437[[#This Row],[Total Cost Per Serving (O+Q)/J]]*Table1437[[#This Row],[Estimated Servings Annual]]</f>
        <v>#DIV/0!</v>
      </c>
    </row>
    <row r="19" spans="1:24" x14ac:dyDescent="0.35">
      <c r="A19" s="30" t="s">
        <v>37</v>
      </c>
      <c r="B19" s="42" t="s">
        <v>120</v>
      </c>
      <c r="C19" s="6" t="s">
        <v>51</v>
      </c>
      <c r="D19" s="6"/>
      <c r="E19" s="6"/>
      <c r="F19" s="6"/>
      <c r="G19" s="6"/>
      <c r="H19" s="6"/>
      <c r="I19" s="6"/>
      <c r="J19" s="6"/>
      <c r="K19" s="48">
        <v>200000</v>
      </c>
      <c r="L19" s="6"/>
      <c r="M19" s="6"/>
      <c r="N19" s="6"/>
      <c r="O19" s="6"/>
      <c r="P19" s="6"/>
      <c r="Q19" s="6"/>
      <c r="R19" s="6"/>
      <c r="S19" s="67">
        <f>(Table1437[[#This Row],[Commercial Bid Price per case for NOI ($)]]-Table1437[[#This Row],[Pass-Thru Value per case ($)]])+Table1437[[#This Row],[Region 1: Fixed Fee Per Case ($)]]</f>
        <v>0</v>
      </c>
      <c r="T19" s="68" t="e">
        <f>(Table1437[[#This Row],[Commercial Bid Price per case for NOI ($)]]+Table1437[[#This Row],[Region 1: Fixed Fee Per Case ($)]])/Table1437[[#This Row],['# of CN Servings per case]]</f>
        <v>#DIV/0!</v>
      </c>
      <c r="U19" s="68" t="e">
        <f>Table1437[[#This Row],[Total Cost Per Serving (O+P)/J]]*Table1437[[#This Row],[Estimated Servings Annual]]</f>
        <v>#DIV/0!</v>
      </c>
      <c r="V19" s="67">
        <f>(Table1437[[#This Row],[Commercial Bid Price per case for NOI ($)]]-Table1437[[#This Row],[Pass-Thru Value per case ($)]])+Table1437[[#This Row],[Region 2: Fixed Fee Per Case ($)]]</f>
        <v>0</v>
      </c>
      <c r="W19" s="68" t="e">
        <f>(Table1437[[#This Row],[Commercial Bid Price per case for NOI ($)]]+Table1437[[#This Row],[Region 2: Fixed Fee Per Case ($)]])/Table1437[[#This Row],['# of CN Servings per case]]</f>
        <v>#DIV/0!</v>
      </c>
      <c r="X19" s="69" t="e">
        <f>Table1437[[#This Row],[Total Cost Per Serving (O+Q)/J]]*Table1437[[#This Row],[Estimated Servings Annual]]</f>
        <v>#DIV/0!</v>
      </c>
    </row>
    <row r="20" spans="1:24" x14ac:dyDescent="0.35">
      <c r="A20" s="30" t="s">
        <v>37</v>
      </c>
      <c r="B20" s="28" t="s">
        <v>120</v>
      </c>
      <c r="C20" s="7" t="s">
        <v>51</v>
      </c>
      <c r="D20" s="7"/>
      <c r="E20" s="7"/>
      <c r="F20" s="7"/>
      <c r="G20" s="7"/>
      <c r="H20" s="7"/>
      <c r="I20" s="7"/>
      <c r="J20" s="7"/>
      <c r="K20" s="49">
        <v>200000</v>
      </c>
      <c r="L20" s="7"/>
      <c r="M20" s="7"/>
      <c r="N20" s="7"/>
      <c r="O20" s="7"/>
      <c r="P20" s="7"/>
      <c r="Q20" s="7"/>
      <c r="R20" s="7"/>
      <c r="S20" s="70">
        <f>(Table1437[[#This Row],[Commercial Bid Price per case for NOI ($)]]-Table1437[[#This Row],[Pass-Thru Value per case ($)]])+Table1437[[#This Row],[Region 1: Fixed Fee Per Case ($)]]</f>
        <v>0</v>
      </c>
      <c r="T20" s="71" t="e">
        <f>(Table1437[[#This Row],[Commercial Bid Price per case for NOI ($)]]+Table1437[[#This Row],[Region 1: Fixed Fee Per Case ($)]])/Table1437[[#This Row],['# of CN Servings per case]]</f>
        <v>#DIV/0!</v>
      </c>
      <c r="U20" s="71" t="e">
        <f>Table1437[[#This Row],[Total Cost Per Serving (O+P)/J]]*Table1437[[#This Row],[Estimated Servings Annual]]</f>
        <v>#DIV/0!</v>
      </c>
      <c r="V20" s="70">
        <f>(Table1437[[#This Row],[Commercial Bid Price per case for NOI ($)]]-Table1437[[#This Row],[Pass-Thru Value per case ($)]])+Table1437[[#This Row],[Region 2: Fixed Fee Per Case ($)]]</f>
        <v>0</v>
      </c>
      <c r="W20" s="71" t="e">
        <f>(Table1437[[#This Row],[Commercial Bid Price per case for NOI ($)]]+Table1437[[#This Row],[Region 2: Fixed Fee Per Case ($)]])/Table1437[[#This Row],['# of CN Servings per case]]</f>
        <v>#DIV/0!</v>
      </c>
      <c r="X20" s="72" t="e">
        <f>Table1437[[#This Row],[Total Cost Per Serving (O+Q)/J]]*Table1437[[#This Row],[Estimated Servings Annual]]</f>
        <v>#DIV/0!</v>
      </c>
    </row>
    <row r="21" spans="1:24" x14ac:dyDescent="0.35">
      <c r="A21" s="30" t="s">
        <v>37</v>
      </c>
      <c r="B21" s="28" t="s">
        <v>120</v>
      </c>
      <c r="C21" s="7" t="s">
        <v>132</v>
      </c>
      <c r="D21" s="7"/>
      <c r="E21" s="7"/>
      <c r="F21" s="7"/>
      <c r="G21" s="7"/>
      <c r="H21" s="7"/>
      <c r="I21" s="7"/>
      <c r="J21" s="7"/>
      <c r="K21" s="49">
        <v>200000</v>
      </c>
      <c r="L21" s="7"/>
      <c r="M21" s="7"/>
      <c r="N21" s="7"/>
      <c r="O21" s="7"/>
      <c r="P21" s="7"/>
      <c r="Q21" s="7"/>
      <c r="R21" s="7"/>
      <c r="S21" s="70">
        <f>(Table1437[[#This Row],[Commercial Bid Price per case for NOI ($)]]-Table1437[[#This Row],[Pass-Thru Value per case ($)]])+Table1437[[#This Row],[Region 1: Fixed Fee Per Case ($)]]</f>
        <v>0</v>
      </c>
      <c r="T21" s="71" t="e">
        <f>(Table1437[[#This Row],[Commercial Bid Price per case for NOI ($)]]+Table1437[[#This Row],[Region 1: Fixed Fee Per Case ($)]])/Table1437[[#This Row],['# of CN Servings per case]]</f>
        <v>#DIV/0!</v>
      </c>
      <c r="U21" s="71" t="e">
        <f>Table1437[[#This Row],[Total Cost Per Serving (O+P)/J]]*Table1437[[#This Row],[Estimated Servings Annual]]</f>
        <v>#DIV/0!</v>
      </c>
      <c r="V21" s="70">
        <f>(Table1437[[#This Row],[Commercial Bid Price per case for NOI ($)]]-Table1437[[#This Row],[Pass-Thru Value per case ($)]])+Table1437[[#This Row],[Region 2: Fixed Fee Per Case ($)]]</f>
        <v>0</v>
      </c>
      <c r="W21" s="71" t="e">
        <f>(Table1437[[#This Row],[Commercial Bid Price per case for NOI ($)]]+Table1437[[#This Row],[Region 2: Fixed Fee Per Case ($)]])/Table1437[[#This Row],['# of CN Servings per case]]</f>
        <v>#DIV/0!</v>
      </c>
      <c r="X21" s="72" t="e">
        <f>Table1437[[#This Row],[Total Cost Per Serving (O+Q)/J]]*Table1437[[#This Row],[Estimated Servings Annual]]</f>
        <v>#DIV/0!</v>
      </c>
    </row>
    <row r="22" spans="1:24" x14ac:dyDescent="0.35">
      <c r="A22" s="30" t="s">
        <v>37</v>
      </c>
      <c r="B22" s="28" t="s">
        <v>120</v>
      </c>
      <c r="C22" s="7" t="s">
        <v>132</v>
      </c>
      <c r="D22" s="7"/>
      <c r="E22" s="7"/>
      <c r="F22" s="7"/>
      <c r="G22" s="7"/>
      <c r="H22" s="7"/>
      <c r="I22" s="7"/>
      <c r="J22" s="7"/>
      <c r="K22" s="49">
        <v>200000</v>
      </c>
      <c r="L22" s="7"/>
      <c r="M22" s="7"/>
      <c r="N22" s="7"/>
      <c r="O22" s="7"/>
      <c r="P22" s="7"/>
      <c r="Q22" s="7"/>
      <c r="R22" s="7"/>
      <c r="S22" s="70">
        <f>(Table1437[[#This Row],[Commercial Bid Price per case for NOI ($)]]-Table1437[[#This Row],[Pass-Thru Value per case ($)]])+Table1437[[#This Row],[Region 1: Fixed Fee Per Case ($)]]</f>
        <v>0</v>
      </c>
      <c r="T22" s="71" t="e">
        <f>(Table1437[[#This Row],[Commercial Bid Price per case for NOI ($)]]+Table1437[[#This Row],[Region 1: Fixed Fee Per Case ($)]])/Table1437[[#This Row],['# of CN Servings per case]]</f>
        <v>#DIV/0!</v>
      </c>
      <c r="U22" s="71" t="e">
        <f>Table1437[[#This Row],[Total Cost Per Serving (O+P)/J]]*Table1437[[#This Row],[Estimated Servings Annual]]</f>
        <v>#DIV/0!</v>
      </c>
      <c r="V22" s="70">
        <f>(Table1437[[#This Row],[Commercial Bid Price per case for NOI ($)]]-Table1437[[#This Row],[Pass-Thru Value per case ($)]])+Table1437[[#This Row],[Region 2: Fixed Fee Per Case ($)]]</f>
        <v>0</v>
      </c>
      <c r="W22" s="71" t="e">
        <f>(Table1437[[#This Row],[Commercial Bid Price per case for NOI ($)]]+Table1437[[#This Row],[Region 2: Fixed Fee Per Case ($)]])/Table1437[[#This Row],['# of CN Servings per case]]</f>
        <v>#DIV/0!</v>
      </c>
      <c r="X22" s="72" t="e">
        <f>Table1437[[#This Row],[Total Cost Per Serving (O+Q)/J]]*Table1437[[#This Row],[Estimated Servings Annual]]</f>
        <v>#DIV/0!</v>
      </c>
    </row>
    <row r="23" spans="1:24" x14ac:dyDescent="0.35">
      <c r="A23" s="30" t="s">
        <v>37</v>
      </c>
      <c r="B23" s="28" t="s">
        <v>120</v>
      </c>
      <c r="C23" s="7" t="s">
        <v>13</v>
      </c>
      <c r="D23" s="7"/>
      <c r="E23" s="7"/>
      <c r="F23" s="7"/>
      <c r="G23" s="7"/>
      <c r="H23" s="7"/>
      <c r="I23" s="7"/>
      <c r="J23" s="7"/>
      <c r="K23" s="49">
        <v>200000</v>
      </c>
      <c r="L23" s="7"/>
      <c r="M23" s="7"/>
      <c r="N23" s="7"/>
      <c r="O23" s="7"/>
      <c r="P23" s="7"/>
      <c r="Q23" s="7"/>
      <c r="R23" s="7"/>
      <c r="S23" s="70">
        <f>(Table1437[[#This Row],[Commercial Bid Price per case for NOI ($)]]-Table1437[[#This Row],[Pass-Thru Value per case ($)]])+Table1437[[#This Row],[Region 1: Fixed Fee Per Case ($)]]</f>
        <v>0</v>
      </c>
      <c r="T23" s="71" t="e">
        <f>(Table1437[[#This Row],[Commercial Bid Price per case for NOI ($)]]+Table1437[[#This Row],[Region 1: Fixed Fee Per Case ($)]])/Table1437[[#This Row],['# of CN Servings per case]]</f>
        <v>#DIV/0!</v>
      </c>
      <c r="U23" s="71" t="e">
        <f>Table1437[[#This Row],[Total Cost Per Serving (O+P)/J]]*Table1437[[#This Row],[Estimated Servings Annual]]</f>
        <v>#DIV/0!</v>
      </c>
      <c r="V23" s="70">
        <f>(Table1437[[#This Row],[Commercial Bid Price per case for NOI ($)]]-Table1437[[#This Row],[Pass-Thru Value per case ($)]])+Table1437[[#This Row],[Region 2: Fixed Fee Per Case ($)]]</f>
        <v>0</v>
      </c>
      <c r="W23" s="71" t="e">
        <f>(Table1437[[#This Row],[Commercial Bid Price per case for NOI ($)]]+Table1437[[#This Row],[Region 2: Fixed Fee Per Case ($)]])/Table1437[[#This Row],['# of CN Servings per case]]</f>
        <v>#DIV/0!</v>
      </c>
      <c r="X23" s="72" t="e">
        <f>Table1437[[#This Row],[Total Cost Per Serving (O+Q)/J]]*Table1437[[#This Row],[Estimated Servings Annual]]</f>
        <v>#DIV/0!</v>
      </c>
    </row>
    <row r="24" spans="1:24" x14ac:dyDescent="0.35">
      <c r="A24" s="30" t="s">
        <v>37</v>
      </c>
      <c r="B24" s="28" t="s">
        <v>120</v>
      </c>
      <c r="C24" s="7" t="s">
        <v>13</v>
      </c>
      <c r="D24" s="7"/>
      <c r="E24" s="7"/>
      <c r="F24" s="7"/>
      <c r="G24" s="7"/>
      <c r="H24" s="7"/>
      <c r="I24" s="7"/>
      <c r="J24" s="7"/>
      <c r="K24" s="49">
        <v>200000</v>
      </c>
      <c r="L24" s="7"/>
      <c r="M24" s="7"/>
      <c r="N24" s="7"/>
      <c r="O24" s="7"/>
      <c r="P24" s="7"/>
      <c r="Q24" s="7"/>
      <c r="R24" s="7"/>
      <c r="S24" s="70">
        <f>(Table1437[[#This Row],[Commercial Bid Price per case for NOI ($)]]-Table1437[[#This Row],[Pass-Thru Value per case ($)]])+Table1437[[#This Row],[Region 1: Fixed Fee Per Case ($)]]</f>
        <v>0</v>
      </c>
      <c r="T24" s="71" t="e">
        <f>(Table1437[[#This Row],[Commercial Bid Price per case for NOI ($)]]+Table1437[[#This Row],[Region 1: Fixed Fee Per Case ($)]])/Table1437[[#This Row],['# of CN Servings per case]]</f>
        <v>#DIV/0!</v>
      </c>
      <c r="U24" s="71" t="e">
        <f>Table1437[[#This Row],[Total Cost Per Serving (O+P)/J]]*Table1437[[#This Row],[Estimated Servings Annual]]</f>
        <v>#DIV/0!</v>
      </c>
      <c r="V24" s="70">
        <f>(Table1437[[#This Row],[Commercial Bid Price per case for NOI ($)]]-Table1437[[#This Row],[Pass-Thru Value per case ($)]])+Table1437[[#This Row],[Region 2: Fixed Fee Per Case ($)]]</f>
        <v>0</v>
      </c>
      <c r="W24" s="71" t="e">
        <f>(Table1437[[#This Row],[Commercial Bid Price per case for NOI ($)]]+Table1437[[#This Row],[Region 2: Fixed Fee Per Case ($)]])/Table1437[[#This Row],['# of CN Servings per case]]</f>
        <v>#DIV/0!</v>
      </c>
      <c r="X24" s="72" t="e">
        <f>Table1437[[#This Row],[Total Cost Per Serving (O+Q)/J]]*Table1437[[#This Row],[Estimated Servings Annual]]</f>
        <v>#DIV/0!</v>
      </c>
    </row>
    <row r="25" spans="1:24" x14ac:dyDescent="0.35">
      <c r="A25" s="30" t="s">
        <v>37</v>
      </c>
      <c r="B25" s="28" t="s">
        <v>120</v>
      </c>
      <c r="C25" s="7" t="s">
        <v>13</v>
      </c>
      <c r="D25" s="7"/>
      <c r="E25" s="7"/>
      <c r="F25" s="7"/>
      <c r="G25" s="7"/>
      <c r="H25" s="7"/>
      <c r="I25" s="7"/>
      <c r="J25" s="7"/>
      <c r="K25" s="49">
        <v>200000</v>
      </c>
      <c r="L25" s="7"/>
      <c r="M25" s="7"/>
      <c r="N25" s="7"/>
      <c r="O25" s="7"/>
      <c r="P25" s="7"/>
      <c r="Q25" s="7"/>
      <c r="R25" s="7"/>
      <c r="S25" s="70">
        <f>(Table1437[[#This Row],[Commercial Bid Price per case for NOI ($)]]-Table1437[[#This Row],[Pass-Thru Value per case ($)]])+Table1437[[#This Row],[Region 1: Fixed Fee Per Case ($)]]</f>
        <v>0</v>
      </c>
      <c r="T25" s="71" t="e">
        <f>(Table1437[[#This Row],[Commercial Bid Price per case for NOI ($)]]+Table1437[[#This Row],[Region 1: Fixed Fee Per Case ($)]])/Table1437[[#This Row],['# of CN Servings per case]]</f>
        <v>#DIV/0!</v>
      </c>
      <c r="U25" s="71" t="e">
        <f>Table1437[[#This Row],[Total Cost Per Serving (O+P)/J]]*Table1437[[#This Row],[Estimated Servings Annual]]</f>
        <v>#DIV/0!</v>
      </c>
      <c r="V25" s="70">
        <f>(Table1437[[#This Row],[Commercial Bid Price per case for NOI ($)]]-Table1437[[#This Row],[Pass-Thru Value per case ($)]])+Table1437[[#This Row],[Region 2: Fixed Fee Per Case ($)]]</f>
        <v>0</v>
      </c>
      <c r="W25" s="71" t="e">
        <f>(Table1437[[#This Row],[Commercial Bid Price per case for NOI ($)]]+Table1437[[#This Row],[Region 2: Fixed Fee Per Case ($)]])/Table1437[[#This Row],['# of CN Servings per case]]</f>
        <v>#DIV/0!</v>
      </c>
      <c r="X25" s="72" t="e">
        <f>Table1437[[#This Row],[Total Cost Per Serving (O+Q)/J]]*Table1437[[#This Row],[Estimated Servings Annual]]</f>
        <v>#DIV/0!</v>
      </c>
    </row>
    <row r="26" spans="1:24" ht="15" thickBot="1" x14ac:dyDescent="0.4">
      <c r="A26" s="30" t="s">
        <v>37</v>
      </c>
      <c r="B26" s="28" t="s">
        <v>120</v>
      </c>
      <c r="C26" s="8" t="s">
        <v>13</v>
      </c>
      <c r="D26" s="8"/>
      <c r="E26" s="8"/>
      <c r="F26" s="8"/>
      <c r="G26" s="8"/>
      <c r="H26" s="8"/>
      <c r="I26" s="8"/>
      <c r="J26" s="8"/>
      <c r="K26" s="50">
        <v>200000</v>
      </c>
      <c r="L26" s="8"/>
      <c r="M26" s="8"/>
      <c r="N26" s="8"/>
      <c r="O26" s="8"/>
      <c r="P26" s="8"/>
      <c r="Q26" s="8"/>
      <c r="R26" s="8"/>
      <c r="S26" s="73">
        <f>(Table1437[[#This Row],[Commercial Bid Price per case for NOI ($)]]-Table1437[[#This Row],[Pass-Thru Value per case ($)]])+Table1437[[#This Row],[Region 1: Fixed Fee Per Case ($)]]</f>
        <v>0</v>
      </c>
      <c r="T26" s="74" t="e">
        <f>(Table1437[[#This Row],[Commercial Bid Price per case for NOI ($)]]+Table1437[[#This Row],[Region 1: Fixed Fee Per Case ($)]])/Table1437[[#This Row],['# of CN Servings per case]]</f>
        <v>#DIV/0!</v>
      </c>
      <c r="U26" s="74" t="e">
        <f>Table1437[[#This Row],[Total Cost Per Serving (O+P)/J]]*Table1437[[#This Row],[Estimated Servings Annual]]</f>
        <v>#DIV/0!</v>
      </c>
      <c r="V26" s="73">
        <f>(Table1437[[#This Row],[Commercial Bid Price per case for NOI ($)]]-Table1437[[#This Row],[Pass-Thru Value per case ($)]])+Table1437[[#This Row],[Region 2: Fixed Fee Per Case ($)]]</f>
        <v>0</v>
      </c>
      <c r="W26" s="74" t="e">
        <f>(Table1437[[#This Row],[Commercial Bid Price per case for NOI ($)]]+Table1437[[#This Row],[Region 2: Fixed Fee Per Case ($)]])/Table1437[[#This Row],['# of CN Servings per case]]</f>
        <v>#DIV/0!</v>
      </c>
      <c r="X26" s="75" t="e">
        <f>Table1437[[#This Row],[Total Cost Per Serving (O+Q)/J]]*Table1437[[#This Row],[Estimated Servings Annual]]</f>
        <v>#DIV/0!</v>
      </c>
    </row>
    <row r="27" spans="1:24" x14ac:dyDescent="0.35">
      <c r="A27" s="30" t="s">
        <v>37</v>
      </c>
      <c r="B27" s="42" t="s">
        <v>121</v>
      </c>
      <c r="C27" s="6" t="s">
        <v>51</v>
      </c>
      <c r="D27" s="6"/>
      <c r="E27" s="6"/>
      <c r="F27" s="6"/>
      <c r="G27" s="6"/>
      <c r="H27" s="6"/>
      <c r="I27" s="6"/>
      <c r="J27" s="6"/>
      <c r="K27" s="48">
        <v>70000</v>
      </c>
      <c r="L27" s="6"/>
      <c r="M27" s="6"/>
      <c r="N27" s="6"/>
      <c r="O27" s="6"/>
      <c r="P27" s="6"/>
      <c r="Q27" s="6"/>
      <c r="R27" s="6"/>
      <c r="S27" s="67">
        <f>(Table1437[[#This Row],[Commercial Bid Price per case for NOI ($)]]-Table1437[[#This Row],[Pass-Thru Value per case ($)]])+Table1437[[#This Row],[Region 1: Fixed Fee Per Case ($)]]</f>
        <v>0</v>
      </c>
      <c r="T27" s="68" t="e">
        <f>(Table1437[[#This Row],[Commercial Bid Price per case for NOI ($)]]+Table1437[[#This Row],[Region 1: Fixed Fee Per Case ($)]])/Table1437[[#This Row],['# of CN Servings per case]]</f>
        <v>#DIV/0!</v>
      </c>
      <c r="U27" s="68" t="e">
        <f>Table1437[[#This Row],[Total Cost Per Serving (O+P)/J]]*Table1437[[#This Row],[Estimated Servings Annual]]</f>
        <v>#DIV/0!</v>
      </c>
      <c r="V27" s="67">
        <f>(Table1437[[#This Row],[Commercial Bid Price per case for NOI ($)]]-Table1437[[#This Row],[Pass-Thru Value per case ($)]])+Table1437[[#This Row],[Region 2: Fixed Fee Per Case ($)]]</f>
        <v>0</v>
      </c>
      <c r="W27" s="68" t="e">
        <f>(Table1437[[#This Row],[Commercial Bid Price per case for NOI ($)]]+Table1437[[#This Row],[Region 2: Fixed Fee Per Case ($)]])/Table1437[[#This Row],['# of CN Servings per case]]</f>
        <v>#DIV/0!</v>
      </c>
      <c r="X27" s="69" t="e">
        <f>Table1437[[#This Row],[Total Cost Per Serving (O+Q)/J]]*Table1437[[#This Row],[Estimated Servings Annual]]</f>
        <v>#DIV/0!</v>
      </c>
    </row>
    <row r="28" spans="1:24" x14ac:dyDescent="0.35">
      <c r="A28" s="30" t="s">
        <v>37</v>
      </c>
      <c r="B28" s="28" t="s">
        <v>121</v>
      </c>
      <c r="C28" s="7" t="s">
        <v>51</v>
      </c>
      <c r="D28" s="7"/>
      <c r="E28" s="7"/>
      <c r="F28" s="7"/>
      <c r="G28" s="7"/>
      <c r="H28" s="7"/>
      <c r="I28" s="7"/>
      <c r="J28" s="7"/>
      <c r="K28" s="49">
        <v>70000</v>
      </c>
      <c r="L28" s="7"/>
      <c r="M28" s="7"/>
      <c r="N28" s="7"/>
      <c r="O28" s="7"/>
      <c r="P28" s="7"/>
      <c r="Q28" s="7"/>
      <c r="R28" s="7"/>
      <c r="S28" s="70">
        <f>(Table1437[[#This Row],[Commercial Bid Price per case for NOI ($)]]-Table1437[[#This Row],[Pass-Thru Value per case ($)]])+Table1437[[#This Row],[Region 1: Fixed Fee Per Case ($)]]</f>
        <v>0</v>
      </c>
      <c r="T28" s="71" t="e">
        <f>(Table1437[[#This Row],[Commercial Bid Price per case for NOI ($)]]+Table1437[[#This Row],[Region 1: Fixed Fee Per Case ($)]])/Table1437[[#This Row],['# of CN Servings per case]]</f>
        <v>#DIV/0!</v>
      </c>
      <c r="U28" s="71" t="e">
        <f>Table1437[[#This Row],[Total Cost Per Serving (O+P)/J]]*Table1437[[#This Row],[Estimated Servings Annual]]</f>
        <v>#DIV/0!</v>
      </c>
      <c r="V28" s="70">
        <f>(Table1437[[#This Row],[Commercial Bid Price per case for NOI ($)]]-Table1437[[#This Row],[Pass-Thru Value per case ($)]])+Table1437[[#This Row],[Region 2: Fixed Fee Per Case ($)]]</f>
        <v>0</v>
      </c>
      <c r="W28" s="71" t="e">
        <f>(Table1437[[#This Row],[Commercial Bid Price per case for NOI ($)]]+Table1437[[#This Row],[Region 2: Fixed Fee Per Case ($)]])/Table1437[[#This Row],['# of CN Servings per case]]</f>
        <v>#DIV/0!</v>
      </c>
      <c r="X28" s="72" t="e">
        <f>Table1437[[#This Row],[Total Cost Per Serving (O+Q)/J]]*Table1437[[#This Row],[Estimated Servings Annual]]</f>
        <v>#DIV/0!</v>
      </c>
    </row>
    <row r="29" spans="1:24" x14ac:dyDescent="0.35">
      <c r="A29" s="30" t="s">
        <v>37</v>
      </c>
      <c r="B29" s="28" t="s">
        <v>121</v>
      </c>
      <c r="C29" s="7" t="s">
        <v>132</v>
      </c>
      <c r="D29" s="7"/>
      <c r="E29" s="7"/>
      <c r="F29" s="7"/>
      <c r="G29" s="7"/>
      <c r="H29" s="7"/>
      <c r="I29" s="7"/>
      <c r="J29" s="7"/>
      <c r="K29" s="49">
        <v>70000</v>
      </c>
      <c r="L29" s="7"/>
      <c r="M29" s="7"/>
      <c r="N29" s="7"/>
      <c r="O29" s="7"/>
      <c r="P29" s="7"/>
      <c r="Q29" s="7"/>
      <c r="R29" s="7"/>
      <c r="S29" s="70">
        <f>(Table1437[[#This Row],[Commercial Bid Price per case for NOI ($)]]-Table1437[[#This Row],[Pass-Thru Value per case ($)]])+Table1437[[#This Row],[Region 1: Fixed Fee Per Case ($)]]</f>
        <v>0</v>
      </c>
      <c r="T29" s="71" t="e">
        <f>(Table1437[[#This Row],[Commercial Bid Price per case for NOI ($)]]+Table1437[[#This Row],[Region 1: Fixed Fee Per Case ($)]])/Table1437[[#This Row],['# of CN Servings per case]]</f>
        <v>#DIV/0!</v>
      </c>
      <c r="U29" s="71" t="e">
        <f>Table1437[[#This Row],[Total Cost Per Serving (O+P)/J]]*Table1437[[#This Row],[Estimated Servings Annual]]</f>
        <v>#DIV/0!</v>
      </c>
      <c r="V29" s="70">
        <f>(Table1437[[#This Row],[Commercial Bid Price per case for NOI ($)]]-Table1437[[#This Row],[Pass-Thru Value per case ($)]])+Table1437[[#This Row],[Region 2: Fixed Fee Per Case ($)]]</f>
        <v>0</v>
      </c>
      <c r="W29" s="71" t="e">
        <f>(Table1437[[#This Row],[Commercial Bid Price per case for NOI ($)]]+Table1437[[#This Row],[Region 2: Fixed Fee Per Case ($)]])/Table1437[[#This Row],['# of CN Servings per case]]</f>
        <v>#DIV/0!</v>
      </c>
      <c r="X29" s="72" t="e">
        <f>Table1437[[#This Row],[Total Cost Per Serving (O+Q)/J]]*Table1437[[#This Row],[Estimated Servings Annual]]</f>
        <v>#DIV/0!</v>
      </c>
    </row>
    <row r="30" spans="1:24" x14ac:dyDescent="0.35">
      <c r="A30" s="30" t="s">
        <v>37</v>
      </c>
      <c r="B30" s="28" t="s">
        <v>121</v>
      </c>
      <c r="C30" s="7" t="s">
        <v>132</v>
      </c>
      <c r="D30" s="7"/>
      <c r="E30" s="7"/>
      <c r="F30" s="7"/>
      <c r="G30" s="7"/>
      <c r="H30" s="7"/>
      <c r="I30" s="7"/>
      <c r="J30" s="7"/>
      <c r="K30" s="49">
        <v>70000</v>
      </c>
      <c r="L30" s="7"/>
      <c r="M30" s="7"/>
      <c r="N30" s="7"/>
      <c r="O30" s="7"/>
      <c r="P30" s="7"/>
      <c r="Q30" s="7"/>
      <c r="R30" s="7"/>
      <c r="S30" s="70">
        <f>(Table1437[[#This Row],[Commercial Bid Price per case for NOI ($)]]-Table1437[[#This Row],[Pass-Thru Value per case ($)]])+Table1437[[#This Row],[Region 1: Fixed Fee Per Case ($)]]</f>
        <v>0</v>
      </c>
      <c r="T30" s="71" t="e">
        <f>(Table1437[[#This Row],[Commercial Bid Price per case for NOI ($)]]+Table1437[[#This Row],[Region 1: Fixed Fee Per Case ($)]])/Table1437[[#This Row],['# of CN Servings per case]]</f>
        <v>#DIV/0!</v>
      </c>
      <c r="U30" s="71" t="e">
        <f>Table1437[[#This Row],[Total Cost Per Serving (O+P)/J]]*Table1437[[#This Row],[Estimated Servings Annual]]</f>
        <v>#DIV/0!</v>
      </c>
      <c r="V30" s="70">
        <f>(Table1437[[#This Row],[Commercial Bid Price per case for NOI ($)]]-Table1437[[#This Row],[Pass-Thru Value per case ($)]])+Table1437[[#This Row],[Region 2: Fixed Fee Per Case ($)]]</f>
        <v>0</v>
      </c>
      <c r="W30" s="71" t="e">
        <f>(Table1437[[#This Row],[Commercial Bid Price per case for NOI ($)]]+Table1437[[#This Row],[Region 2: Fixed Fee Per Case ($)]])/Table1437[[#This Row],['# of CN Servings per case]]</f>
        <v>#DIV/0!</v>
      </c>
      <c r="X30" s="72" t="e">
        <f>Table1437[[#This Row],[Total Cost Per Serving (O+Q)/J]]*Table1437[[#This Row],[Estimated Servings Annual]]</f>
        <v>#DIV/0!</v>
      </c>
    </row>
    <row r="31" spans="1:24" x14ac:dyDescent="0.35">
      <c r="A31" s="30" t="s">
        <v>37</v>
      </c>
      <c r="B31" s="28" t="s">
        <v>121</v>
      </c>
      <c r="C31" s="7" t="s">
        <v>52</v>
      </c>
      <c r="D31" s="7"/>
      <c r="E31" s="7"/>
      <c r="F31" s="7"/>
      <c r="G31" s="7"/>
      <c r="H31" s="7"/>
      <c r="I31" s="7"/>
      <c r="J31" s="7"/>
      <c r="K31" s="49">
        <v>70000</v>
      </c>
      <c r="L31" s="7"/>
      <c r="M31" s="7"/>
      <c r="N31" s="7"/>
      <c r="O31" s="7"/>
      <c r="P31" s="7"/>
      <c r="Q31" s="7"/>
      <c r="R31" s="7"/>
      <c r="S31" s="70">
        <f>(Table1437[[#This Row],[Commercial Bid Price per case for NOI ($)]]-Table1437[[#This Row],[Pass-Thru Value per case ($)]])+Table1437[[#This Row],[Region 1: Fixed Fee Per Case ($)]]</f>
        <v>0</v>
      </c>
      <c r="T31" s="71" t="e">
        <f>(Table1437[[#This Row],[Commercial Bid Price per case for NOI ($)]]+Table1437[[#This Row],[Region 1: Fixed Fee Per Case ($)]])/Table1437[[#This Row],['# of CN Servings per case]]</f>
        <v>#DIV/0!</v>
      </c>
      <c r="U31" s="71" t="e">
        <f>Table1437[[#This Row],[Total Cost Per Serving (O+P)/J]]*Table1437[[#This Row],[Estimated Servings Annual]]</f>
        <v>#DIV/0!</v>
      </c>
      <c r="V31" s="70">
        <f>(Table1437[[#This Row],[Commercial Bid Price per case for NOI ($)]]-Table1437[[#This Row],[Pass-Thru Value per case ($)]])+Table1437[[#This Row],[Region 2: Fixed Fee Per Case ($)]]</f>
        <v>0</v>
      </c>
      <c r="W31" s="71" t="e">
        <f>(Table1437[[#This Row],[Commercial Bid Price per case for NOI ($)]]+Table1437[[#This Row],[Region 2: Fixed Fee Per Case ($)]])/Table1437[[#This Row],['# of CN Servings per case]]</f>
        <v>#DIV/0!</v>
      </c>
      <c r="X31" s="72" t="e">
        <f>Table1437[[#This Row],[Total Cost Per Serving (O+Q)/J]]*Table1437[[#This Row],[Estimated Servings Annual]]</f>
        <v>#DIV/0!</v>
      </c>
    </row>
    <row r="32" spans="1:24" x14ac:dyDescent="0.35">
      <c r="A32" s="30" t="s">
        <v>37</v>
      </c>
      <c r="B32" s="28" t="s">
        <v>121</v>
      </c>
      <c r="C32" s="7" t="s">
        <v>52</v>
      </c>
      <c r="D32" s="7"/>
      <c r="E32" s="7"/>
      <c r="F32" s="7"/>
      <c r="G32" s="7"/>
      <c r="H32" s="7"/>
      <c r="I32" s="7"/>
      <c r="J32" s="7"/>
      <c r="K32" s="49">
        <v>70000</v>
      </c>
      <c r="L32" s="7"/>
      <c r="M32" s="7"/>
      <c r="N32" s="7"/>
      <c r="O32" s="7"/>
      <c r="P32" s="7"/>
      <c r="Q32" s="7"/>
      <c r="R32" s="7"/>
      <c r="S32" s="70">
        <f>(Table1437[[#This Row],[Commercial Bid Price per case for NOI ($)]]-Table1437[[#This Row],[Pass-Thru Value per case ($)]])+Table1437[[#This Row],[Region 1: Fixed Fee Per Case ($)]]</f>
        <v>0</v>
      </c>
      <c r="T32" s="71" t="e">
        <f>(Table1437[[#This Row],[Commercial Bid Price per case for NOI ($)]]+Table1437[[#This Row],[Region 1: Fixed Fee Per Case ($)]])/Table1437[[#This Row],['# of CN Servings per case]]</f>
        <v>#DIV/0!</v>
      </c>
      <c r="U32" s="71" t="e">
        <f>Table1437[[#This Row],[Total Cost Per Serving (O+P)/J]]*Table1437[[#This Row],[Estimated Servings Annual]]</f>
        <v>#DIV/0!</v>
      </c>
      <c r="V32" s="70">
        <f>(Table1437[[#This Row],[Commercial Bid Price per case for NOI ($)]]-Table1437[[#This Row],[Pass-Thru Value per case ($)]])+Table1437[[#This Row],[Region 2: Fixed Fee Per Case ($)]]</f>
        <v>0</v>
      </c>
      <c r="W32" s="71" t="e">
        <f>(Table1437[[#This Row],[Commercial Bid Price per case for NOI ($)]]+Table1437[[#This Row],[Region 2: Fixed Fee Per Case ($)]])/Table1437[[#This Row],['# of CN Servings per case]]</f>
        <v>#DIV/0!</v>
      </c>
      <c r="X32" s="72" t="e">
        <f>Table1437[[#This Row],[Total Cost Per Serving (O+Q)/J]]*Table1437[[#This Row],[Estimated Servings Annual]]</f>
        <v>#DIV/0!</v>
      </c>
    </row>
    <row r="33" spans="1:24" x14ac:dyDescent="0.35">
      <c r="A33" s="30" t="s">
        <v>37</v>
      </c>
      <c r="B33" s="28" t="s">
        <v>121</v>
      </c>
      <c r="C33" s="7" t="s">
        <v>13</v>
      </c>
      <c r="D33" s="7"/>
      <c r="E33" s="7"/>
      <c r="F33" s="7"/>
      <c r="G33" s="7"/>
      <c r="H33" s="7"/>
      <c r="I33" s="7"/>
      <c r="J33" s="7"/>
      <c r="K33" s="49">
        <v>70000</v>
      </c>
      <c r="L33" s="7"/>
      <c r="M33" s="7"/>
      <c r="N33" s="7"/>
      <c r="O33" s="7"/>
      <c r="P33" s="7"/>
      <c r="Q33" s="7"/>
      <c r="R33" s="7"/>
      <c r="S33" s="70">
        <f>(Table1437[[#This Row],[Commercial Bid Price per case for NOI ($)]]-Table1437[[#This Row],[Pass-Thru Value per case ($)]])+Table1437[[#This Row],[Region 1: Fixed Fee Per Case ($)]]</f>
        <v>0</v>
      </c>
      <c r="T33" s="71" t="e">
        <f>(Table1437[[#This Row],[Commercial Bid Price per case for NOI ($)]]+Table1437[[#This Row],[Region 1: Fixed Fee Per Case ($)]])/Table1437[[#This Row],['# of CN Servings per case]]</f>
        <v>#DIV/0!</v>
      </c>
      <c r="U33" s="71" t="e">
        <f>Table1437[[#This Row],[Total Cost Per Serving (O+P)/J]]*Table1437[[#This Row],[Estimated Servings Annual]]</f>
        <v>#DIV/0!</v>
      </c>
      <c r="V33" s="70">
        <f>(Table1437[[#This Row],[Commercial Bid Price per case for NOI ($)]]-Table1437[[#This Row],[Pass-Thru Value per case ($)]])+Table1437[[#This Row],[Region 2: Fixed Fee Per Case ($)]]</f>
        <v>0</v>
      </c>
      <c r="W33" s="71" t="e">
        <f>(Table1437[[#This Row],[Commercial Bid Price per case for NOI ($)]]+Table1437[[#This Row],[Region 2: Fixed Fee Per Case ($)]])/Table1437[[#This Row],['# of CN Servings per case]]</f>
        <v>#DIV/0!</v>
      </c>
      <c r="X33" s="72" t="e">
        <f>Table1437[[#This Row],[Total Cost Per Serving (O+Q)/J]]*Table1437[[#This Row],[Estimated Servings Annual]]</f>
        <v>#DIV/0!</v>
      </c>
    </row>
    <row r="34" spans="1:24" ht="15" thickBot="1" x14ac:dyDescent="0.4">
      <c r="A34" s="30" t="s">
        <v>37</v>
      </c>
      <c r="B34" s="28" t="s">
        <v>121</v>
      </c>
      <c r="C34" s="27" t="s">
        <v>13</v>
      </c>
      <c r="D34" s="8"/>
      <c r="E34" s="8"/>
      <c r="F34" s="8"/>
      <c r="G34" s="8"/>
      <c r="H34" s="8"/>
      <c r="I34" s="8"/>
      <c r="J34" s="8"/>
      <c r="K34" s="50">
        <v>70000</v>
      </c>
      <c r="L34" s="8"/>
      <c r="M34" s="8"/>
      <c r="N34" s="8"/>
      <c r="O34" s="8"/>
      <c r="P34" s="8"/>
      <c r="Q34" s="8"/>
      <c r="R34" s="8"/>
      <c r="S34" s="73">
        <f>(Table1437[[#This Row],[Commercial Bid Price per case for NOI ($)]]-Table1437[[#This Row],[Pass-Thru Value per case ($)]])+Table1437[[#This Row],[Region 1: Fixed Fee Per Case ($)]]</f>
        <v>0</v>
      </c>
      <c r="T34" s="74" t="e">
        <f>(Table1437[[#This Row],[Commercial Bid Price per case for NOI ($)]]+Table1437[[#This Row],[Region 1: Fixed Fee Per Case ($)]])/Table1437[[#This Row],['# of CN Servings per case]]</f>
        <v>#DIV/0!</v>
      </c>
      <c r="U34" s="74" t="e">
        <f>Table1437[[#This Row],[Total Cost Per Serving (O+P)/J]]*Table1437[[#This Row],[Estimated Servings Annual]]</f>
        <v>#DIV/0!</v>
      </c>
      <c r="V34" s="73">
        <f>(Table1437[[#This Row],[Commercial Bid Price per case for NOI ($)]]-Table1437[[#This Row],[Pass-Thru Value per case ($)]])+Table1437[[#This Row],[Region 2: Fixed Fee Per Case ($)]]</f>
        <v>0</v>
      </c>
      <c r="W34" s="74" t="e">
        <f>(Table1437[[#This Row],[Commercial Bid Price per case for NOI ($)]]+Table1437[[#This Row],[Region 2: Fixed Fee Per Case ($)]])/Table1437[[#This Row],['# of CN Servings per case]]</f>
        <v>#DIV/0!</v>
      </c>
      <c r="X34" s="75" t="e">
        <f>Table1437[[#This Row],[Total Cost Per Serving (O+Q)/J]]*Table1437[[#This Row],[Estimated Servings Annual]]</f>
        <v>#DIV/0!</v>
      </c>
    </row>
    <row r="35" spans="1:24" x14ac:dyDescent="0.35">
      <c r="A35" s="30" t="s">
        <v>37</v>
      </c>
      <c r="B35" s="43" t="s">
        <v>122</v>
      </c>
      <c r="C35" s="6" t="s">
        <v>51</v>
      </c>
      <c r="D35" s="6"/>
      <c r="E35" s="6"/>
      <c r="F35" s="6"/>
      <c r="G35" s="6"/>
      <c r="H35" s="6"/>
      <c r="I35" s="6"/>
      <c r="J35" s="6"/>
      <c r="K35" s="48">
        <v>150000</v>
      </c>
      <c r="L35" s="6"/>
      <c r="M35" s="6"/>
      <c r="N35" s="6"/>
      <c r="O35" s="6"/>
      <c r="P35" s="6"/>
      <c r="Q35" s="6"/>
      <c r="R35" s="6"/>
      <c r="S35" s="67">
        <f>(Table1437[[#This Row],[Commercial Bid Price per case for NOI ($)]]-Table1437[[#This Row],[Pass-Thru Value per case ($)]])+Table1437[[#This Row],[Region 1: Fixed Fee Per Case ($)]]</f>
        <v>0</v>
      </c>
      <c r="T35" s="76" t="e">
        <f>(Table1437[[#This Row],[Commercial Bid Price per case for NOI ($)]]+Table1437[[#This Row],[Region 1: Fixed Fee Per Case ($)]])/Table1437[[#This Row],['# of CN Servings per case]]</f>
        <v>#DIV/0!</v>
      </c>
      <c r="U35" s="68" t="e">
        <f>Table1437[[#This Row],[Total Cost Per Serving (O+P)/J]]*Table1437[[#This Row],[Estimated Servings Annual]]</f>
        <v>#DIV/0!</v>
      </c>
      <c r="V35" s="67">
        <f>(Table1437[[#This Row],[Commercial Bid Price per case for NOI ($)]]-Table1437[[#This Row],[Pass-Thru Value per case ($)]])+Table1437[[#This Row],[Region 2: Fixed Fee Per Case ($)]]</f>
        <v>0</v>
      </c>
      <c r="W35" s="76" t="e">
        <f>(Table1437[[#This Row],[Commercial Bid Price per case for NOI ($)]]+Table1437[[#This Row],[Region 2: Fixed Fee Per Case ($)]])/Table1437[[#This Row],['# of CN Servings per case]]</f>
        <v>#DIV/0!</v>
      </c>
      <c r="X35" s="69" t="e">
        <f>Table1437[[#This Row],[Total Cost Per Serving (O+Q)/J]]*Table1437[[#This Row],[Estimated Servings Annual]]</f>
        <v>#DIV/0!</v>
      </c>
    </row>
    <row r="36" spans="1:24" x14ac:dyDescent="0.35">
      <c r="A36" s="30" t="s">
        <v>37</v>
      </c>
      <c r="B36" s="44" t="s">
        <v>122</v>
      </c>
      <c r="C36" s="7" t="s">
        <v>51</v>
      </c>
      <c r="D36" s="7"/>
      <c r="E36" s="7"/>
      <c r="F36" s="7"/>
      <c r="G36" s="7"/>
      <c r="H36" s="7"/>
      <c r="I36" s="7"/>
      <c r="J36" s="7"/>
      <c r="K36" s="49">
        <v>150000</v>
      </c>
      <c r="L36" s="7"/>
      <c r="M36" s="7"/>
      <c r="N36" s="7"/>
      <c r="O36" s="7"/>
      <c r="P36" s="7"/>
      <c r="Q36" s="7"/>
      <c r="R36" s="7"/>
      <c r="S36" s="70">
        <f>(Table1437[[#This Row],[Commercial Bid Price per case for NOI ($)]]-Table1437[[#This Row],[Pass-Thru Value per case ($)]])+Table1437[[#This Row],[Region 1: Fixed Fee Per Case ($)]]</f>
        <v>0</v>
      </c>
      <c r="T36" s="77" t="e">
        <f>(Table1437[[#This Row],[Commercial Bid Price per case for NOI ($)]]+Table1437[[#This Row],[Region 1: Fixed Fee Per Case ($)]])/Table1437[[#This Row],['# of CN Servings per case]]</f>
        <v>#DIV/0!</v>
      </c>
      <c r="U36" s="71" t="e">
        <f>Table1437[[#This Row],[Total Cost Per Serving (O+P)/J]]*Table1437[[#This Row],[Estimated Servings Annual]]</f>
        <v>#DIV/0!</v>
      </c>
      <c r="V36" s="70">
        <f>(Table1437[[#This Row],[Commercial Bid Price per case for NOI ($)]]-Table1437[[#This Row],[Pass-Thru Value per case ($)]])+Table1437[[#This Row],[Region 2: Fixed Fee Per Case ($)]]</f>
        <v>0</v>
      </c>
      <c r="W36" s="77" t="e">
        <f>(Table1437[[#This Row],[Commercial Bid Price per case for NOI ($)]]+Table1437[[#This Row],[Region 2: Fixed Fee Per Case ($)]])/Table1437[[#This Row],['# of CN Servings per case]]</f>
        <v>#DIV/0!</v>
      </c>
      <c r="X36" s="72" t="e">
        <f>Table1437[[#This Row],[Total Cost Per Serving (O+Q)/J]]*Table1437[[#This Row],[Estimated Servings Annual]]</f>
        <v>#DIV/0!</v>
      </c>
    </row>
    <row r="37" spans="1:24" x14ac:dyDescent="0.35">
      <c r="A37" s="30" t="s">
        <v>37</v>
      </c>
      <c r="B37" s="44" t="s">
        <v>122</v>
      </c>
      <c r="C37" s="7" t="s">
        <v>132</v>
      </c>
      <c r="D37" s="7"/>
      <c r="E37" s="7"/>
      <c r="F37" s="7"/>
      <c r="G37" s="7"/>
      <c r="H37" s="7"/>
      <c r="I37" s="7"/>
      <c r="J37" s="7"/>
      <c r="K37" s="49">
        <v>150000</v>
      </c>
      <c r="L37" s="7"/>
      <c r="M37" s="7"/>
      <c r="N37" s="7"/>
      <c r="O37" s="7"/>
      <c r="P37" s="7"/>
      <c r="Q37" s="7"/>
      <c r="R37" s="7"/>
      <c r="S37" s="70">
        <f>(Table1437[[#This Row],[Commercial Bid Price per case for NOI ($)]]-Table1437[[#This Row],[Pass-Thru Value per case ($)]])+Table1437[[#This Row],[Region 1: Fixed Fee Per Case ($)]]</f>
        <v>0</v>
      </c>
      <c r="T37" s="77" t="e">
        <f>(Table1437[[#This Row],[Commercial Bid Price per case for NOI ($)]]+Table1437[[#This Row],[Region 1: Fixed Fee Per Case ($)]])/Table1437[[#This Row],['# of CN Servings per case]]</f>
        <v>#DIV/0!</v>
      </c>
      <c r="U37" s="71" t="e">
        <f>Table1437[[#This Row],[Total Cost Per Serving (O+P)/J]]*Table1437[[#This Row],[Estimated Servings Annual]]</f>
        <v>#DIV/0!</v>
      </c>
      <c r="V37" s="70">
        <f>(Table1437[[#This Row],[Commercial Bid Price per case for NOI ($)]]-Table1437[[#This Row],[Pass-Thru Value per case ($)]])+Table1437[[#This Row],[Region 2: Fixed Fee Per Case ($)]]</f>
        <v>0</v>
      </c>
      <c r="W37" s="77" t="e">
        <f>(Table1437[[#This Row],[Commercial Bid Price per case for NOI ($)]]+Table1437[[#This Row],[Region 2: Fixed Fee Per Case ($)]])/Table1437[[#This Row],['# of CN Servings per case]]</f>
        <v>#DIV/0!</v>
      </c>
      <c r="X37" s="72" t="e">
        <f>Table1437[[#This Row],[Total Cost Per Serving (O+Q)/J]]*Table1437[[#This Row],[Estimated Servings Annual]]</f>
        <v>#DIV/0!</v>
      </c>
    </row>
    <row r="38" spans="1:24" x14ac:dyDescent="0.35">
      <c r="A38" s="30" t="s">
        <v>37</v>
      </c>
      <c r="B38" s="44" t="s">
        <v>122</v>
      </c>
      <c r="C38" s="7" t="s">
        <v>132</v>
      </c>
      <c r="D38" s="7"/>
      <c r="E38" s="7"/>
      <c r="F38" s="7"/>
      <c r="G38" s="7"/>
      <c r="H38" s="7"/>
      <c r="I38" s="7"/>
      <c r="J38" s="7"/>
      <c r="K38" s="49">
        <v>150000</v>
      </c>
      <c r="L38" s="7"/>
      <c r="M38" s="7"/>
      <c r="N38" s="7"/>
      <c r="O38" s="7"/>
      <c r="P38" s="7"/>
      <c r="Q38" s="7"/>
      <c r="R38" s="7"/>
      <c r="S38" s="70">
        <f>(Table1437[[#This Row],[Commercial Bid Price per case for NOI ($)]]-Table1437[[#This Row],[Pass-Thru Value per case ($)]])+Table1437[[#This Row],[Region 1: Fixed Fee Per Case ($)]]</f>
        <v>0</v>
      </c>
      <c r="T38" s="77" t="e">
        <f>(Table1437[[#This Row],[Commercial Bid Price per case for NOI ($)]]+Table1437[[#This Row],[Region 1: Fixed Fee Per Case ($)]])/Table1437[[#This Row],['# of CN Servings per case]]</f>
        <v>#DIV/0!</v>
      </c>
      <c r="U38" s="71" t="e">
        <f>Table1437[[#This Row],[Total Cost Per Serving (O+P)/J]]*Table1437[[#This Row],[Estimated Servings Annual]]</f>
        <v>#DIV/0!</v>
      </c>
      <c r="V38" s="70">
        <f>(Table1437[[#This Row],[Commercial Bid Price per case for NOI ($)]]-Table1437[[#This Row],[Pass-Thru Value per case ($)]])+Table1437[[#This Row],[Region 2: Fixed Fee Per Case ($)]]</f>
        <v>0</v>
      </c>
      <c r="W38" s="77" t="e">
        <f>(Table1437[[#This Row],[Commercial Bid Price per case for NOI ($)]]+Table1437[[#This Row],[Region 2: Fixed Fee Per Case ($)]])/Table1437[[#This Row],['# of CN Servings per case]]</f>
        <v>#DIV/0!</v>
      </c>
      <c r="X38" s="72" t="e">
        <f>Table1437[[#This Row],[Total Cost Per Serving (O+Q)/J]]*Table1437[[#This Row],[Estimated Servings Annual]]</f>
        <v>#DIV/0!</v>
      </c>
    </row>
    <row r="39" spans="1:24" x14ac:dyDescent="0.35">
      <c r="A39" s="30" t="s">
        <v>37</v>
      </c>
      <c r="B39" s="44" t="s">
        <v>122</v>
      </c>
      <c r="C39" s="7" t="s">
        <v>52</v>
      </c>
      <c r="D39" s="7"/>
      <c r="E39" s="7"/>
      <c r="F39" s="7"/>
      <c r="G39" s="7"/>
      <c r="H39" s="7"/>
      <c r="I39" s="7"/>
      <c r="J39" s="7"/>
      <c r="K39" s="49">
        <v>150000</v>
      </c>
      <c r="L39" s="7"/>
      <c r="M39" s="7"/>
      <c r="N39" s="7"/>
      <c r="O39" s="7"/>
      <c r="P39" s="7"/>
      <c r="Q39" s="7"/>
      <c r="R39" s="7"/>
      <c r="S39" s="70">
        <f>(Table1437[[#This Row],[Commercial Bid Price per case for NOI ($)]]-Table1437[[#This Row],[Pass-Thru Value per case ($)]])+Table1437[[#This Row],[Region 1: Fixed Fee Per Case ($)]]</f>
        <v>0</v>
      </c>
      <c r="T39" s="77" t="e">
        <f>(Table1437[[#This Row],[Commercial Bid Price per case for NOI ($)]]+Table1437[[#This Row],[Region 1: Fixed Fee Per Case ($)]])/Table1437[[#This Row],['# of CN Servings per case]]</f>
        <v>#DIV/0!</v>
      </c>
      <c r="U39" s="71" t="e">
        <f>Table1437[[#This Row],[Total Cost Per Serving (O+P)/J]]*Table1437[[#This Row],[Estimated Servings Annual]]</f>
        <v>#DIV/0!</v>
      </c>
      <c r="V39" s="70">
        <f>(Table1437[[#This Row],[Commercial Bid Price per case for NOI ($)]]-Table1437[[#This Row],[Pass-Thru Value per case ($)]])+Table1437[[#This Row],[Region 2: Fixed Fee Per Case ($)]]</f>
        <v>0</v>
      </c>
      <c r="W39" s="77" t="e">
        <f>(Table1437[[#This Row],[Commercial Bid Price per case for NOI ($)]]+Table1437[[#This Row],[Region 2: Fixed Fee Per Case ($)]])/Table1437[[#This Row],['# of CN Servings per case]]</f>
        <v>#DIV/0!</v>
      </c>
      <c r="X39" s="72" t="e">
        <f>Table1437[[#This Row],[Total Cost Per Serving (O+Q)/J]]*Table1437[[#This Row],[Estimated Servings Annual]]</f>
        <v>#DIV/0!</v>
      </c>
    </row>
    <row r="40" spans="1:24" x14ac:dyDescent="0.35">
      <c r="A40" s="30" t="s">
        <v>37</v>
      </c>
      <c r="B40" s="44" t="s">
        <v>122</v>
      </c>
      <c r="C40" s="7" t="s">
        <v>52</v>
      </c>
      <c r="D40" s="7"/>
      <c r="E40" s="7"/>
      <c r="F40" s="7"/>
      <c r="G40" s="7"/>
      <c r="H40" s="7"/>
      <c r="I40" s="7"/>
      <c r="J40" s="7"/>
      <c r="K40" s="49">
        <v>150000</v>
      </c>
      <c r="L40" s="7"/>
      <c r="M40" s="7"/>
      <c r="N40" s="7"/>
      <c r="O40" s="7"/>
      <c r="P40" s="7"/>
      <c r="Q40" s="7"/>
      <c r="R40" s="7"/>
      <c r="S40" s="70">
        <f>(Table1437[[#This Row],[Commercial Bid Price per case for NOI ($)]]-Table1437[[#This Row],[Pass-Thru Value per case ($)]])+Table1437[[#This Row],[Region 1: Fixed Fee Per Case ($)]]</f>
        <v>0</v>
      </c>
      <c r="T40" s="77" t="e">
        <f>(Table1437[[#This Row],[Commercial Bid Price per case for NOI ($)]]+Table1437[[#This Row],[Region 1: Fixed Fee Per Case ($)]])/Table1437[[#This Row],['# of CN Servings per case]]</f>
        <v>#DIV/0!</v>
      </c>
      <c r="U40" s="71" t="e">
        <f>Table1437[[#This Row],[Total Cost Per Serving (O+P)/J]]*Table1437[[#This Row],[Estimated Servings Annual]]</f>
        <v>#DIV/0!</v>
      </c>
      <c r="V40" s="70">
        <f>(Table1437[[#This Row],[Commercial Bid Price per case for NOI ($)]]-Table1437[[#This Row],[Pass-Thru Value per case ($)]])+Table1437[[#This Row],[Region 2: Fixed Fee Per Case ($)]]</f>
        <v>0</v>
      </c>
      <c r="W40" s="77" t="e">
        <f>(Table1437[[#This Row],[Commercial Bid Price per case for NOI ($)]]+Table1437[[#This Row],[Region 2: Fixed Fee Per Case ($)]])/Table1437[[#This Row],['# of CN Servings per case]]</f>
        <v>#DIV/0!</v>
      </c>
      <c r="X40" s="72" t="e">
        <f>Table1437[[#This Row],[Total Cost Per Serving (O+Q)/J]]*Table1437[[#This Row],[Estimated Servings Annual]]</f>
        <v>#DIV/0!</v>
      </c>
    </row>
    <row r="41" spans="1:24" x14ac:dyDescent="0.35">
      <c r="A41" s="30" t="s">
        <v>37</v>
      </c>
      <c r="B41" s="44" t="s">
        <v>122</v>
      </c>
      <c r="C41" s="7" t="s">
        <v>13</v>
      </c>
      <c r="D41" s="7"/>
      <c r="E41" s="7"/>
      <c r="F41" s="7"/>
      <c r="G41" s="7"/>
      <c r="H41" s="7"/>
      <c r="I41" s="7"/>
      <c r="J41" s="7"/>
      <c r="K41" s="49">
        <v>150000</v>
      </c>
      <c r="L41" s="7"/>
      <c r="M41" s="7"/>
      <c r="N41" s="7"/>
      <c r="O41" s="7"/>
      <c r="P41" s="7"/>
      <c r="Q41" s="7"/>
      <c r="R41" s="7"/>
      <c r="S41" s="70">
        <f>(Table1437[[#This Row],[Commercial Bid Price per case for NOI ($)]]-Table1437[[#This Row],[Pass-Thru Value per case ($)]])+Table1437[[#This Row],[Region 1: Fixed Fee Per Case ($)]]</f>
        <v>0</v>
      </c>
      <c r="T41" s="77" t="e">
        <f>(Table1437[[#This Row],[Commercial Bid Price per case for NOI ($)]]+Table1437[[#This Row],[Region 1: Fixed Fee Per Case ($)]])/Table1437[[#This Row],['# of CN Servings per case]]</f>
        <v>#DIV/0!</v>
      </c>
      <c r="U41" s="71" t="e">
        <f>Table1437[[#This Row],[Total Cost Per Serving (O+P)/J]]*Table1437[[#This Row],[Estimated Servings Annual]]</f>
        <v>#DIV/0!</v>
      </c>
      <c r="V41" s="70">
        <f>(Table1437[[#This Row],[Commercial Bid Price per case for NOI ($)]]-Table1437[[#This Row],[Pass-Thru Value per case ($)]])+Table1437[[#This Row],[Region 2: Fixed Fee Per Case ($)]]</f>
        <v>0</v>
      </c>
      <c r="W41" s="77" t="e">
        <f>(Table1437[[#This Row],[Commercial Bid Price per case for NOI ($)]]+Table1437[[#This Row],[Region 2: Fixed Fee Per Case ($)]])/Table1437[[#This Row],['# of CN Servings per case]]</f>
        <v>#DIV/0!</v>
      </c>
      <c r="X41" s="72" t="e">
        <f>Table1437[[#This Row],[Total Cost Per Serving (O+Q)/J]]*Table1437[[#This Row],[Estimated Servings Annual]]</f>
        <v>#DIV/0!</v>
      </c>
    </row>
    <row r="42" spans="1:24" ht="15" thickBot="1" x14ac:dyDescent="0.4">
      <c r="A42" s="30" t="s">
        <v>37</v>
      </c>
      <c r="B42" s="44" t="s">
        <v>122</v>
      </c>
      <c r="C42" s="27" t="s">
        <v>13</v>
      </c>
      <c r="D42" s="8"/>
      <c r="E42" s="8"/>
      <c r="F42" s="8"/>
      <c r="G42" s="8"/>
      <c r="H42" s="8"/>
      <c r="I42" s="8"/>
      <c r="J42" s="8"/>
      <c r="K42" s="49">
        <v>150000</v>
      </c>
      <c r="L42" s="8"/>
      <c r="M42" s="8"/>
      <c r="N42" s="8"/>
      <c r="O42" s="8"/>
      <c r="P42" s="8"/>
      <c r="Q42" s="8"/>
      <c r="R42" s="8"/>
      <c r="S42" s="73">
        <f>(Table1437[[#This Row],[Commercial Bid Price per case for NOI ($)]]-Table1437[[#This Row],[Pass-Thru Value per case ($)]])+Table1437[[#This Row],[Region 1: Fixed Fee Per Case ($)]]</f>
        <v>0</v>
      </c>
      <c r="T42" s="78" t="e">
        <f>(Table1437[[#This Row],[Commercial Bid Price per case for NOI ($)]]+Table1437[[#This Row],[Region 1: Fixed Fee Per Case ($)]])/Table1437[[#This Row],['# of CN Servings per case]]</f>
        <v>#DIV/0!</v>
      </c>
      <c r="U42" s="74" t="e">
        <f>Table1437[[#This Row],[Total Cost Per Serving (O+P)/J]]*Table1437[[#This Row],[Estimated Servings Annual]]</f>
        <v>#DIV/0!</v>
      </c>
      <c r="V42" s="73">
        <f>(Table1437[[#This Row],[Commercial Bid Price per case for NOI ($)]]-Table1437[[#This Row],[Pass-Thru Value per case ($)]])+Table1437[[#This Row],[Region 2: Fixed Fee Per Case ($)]]</f>
        <v>0</v>
      </c>
      <c r="W42" s="78" t="e">
        <f>(Table1437[[#This Row],[Commercial Bid Price per case for NOI ($)]]+Table1437[[#This Row],[Region 2: Fixed Fee Per Case ($)]])/Table1437[[#This Row],['# of CN Servings per case]]</f>
        <v>#DIV/0!</v>
      </c>
      <c r="X42" s="75" t="e">
        <f>Table1437[[#This Row],[Total Cost Per Serving (O+Q)/J]]*Table1437[[#This Row],[Estimated Servings Annual]]</f>
        <v>#DIV/0!</v>
      </c>
    </row>
    <row r="43" spans="1:24" x14ac:dyDescent="0.35">
      <c r="A43" s="30" t="s">
        <v>37</v>
      </c>
      <c r="B43" s="42" t="s">
        <v>123</v>
      </c>
      <c r="C43" s="6" t="s">
        <v>51</v>
      </c>
      <c r="D43" s="6"/>
      <c r="E43" s="6"/>
      <c r="F43" s="6"/>
      <c r="G43" s="6"/>
      <c r="H43" s="6"/>
      <c r="I43" s="6"/>
      <c r="J43" s="6"/>
      <c r="K43" s="48">
        <v>200000</v>
      </c>
      <c r="L43" s="6"/>
      <c r="M43" s="6"/>
      <c r="N43" s="6"/>
      <c r="O43" s="6"/>
      <c r="P43" s="6"/>
      <c r="Q43" s="6"/>
      <c r="R43" s="6"/>
      <c r="S43" s="67">
        <f>(Table1437[[#This Row],[Commercial Bid Price per case for NOI ($)]]-Table1437[[#This Row],[Pass-Thru Value per case ($)]])+Table1437[[#This Row],[Region 1: Fixed Fee Per Case ($)]]</f>
        <v>0</v>
      </c>
      <c r="T43" s="76" t="e">
        <f>(Table1437[[#This Row],[Commercial Bid Price per case for NOI ($)]]+Table1437[[#This Row],[Region 1: Fixed Fee Per Case ($)]])/Table1437[[#This Row],['# of CN Servings per case]]</f>
        <v>#DIV/0!</v>
      </c>
      <c r="U43" s="68" t="e">
        <f>Table1437[[#This Row],[Total Cost Per Serving (O+P)/J]]*Table1437[[#This Row],[Estimated Servings Annual]]</f>
        <v>#DIV/0!</v>
      </c>
      <c r="V43" s="67">
        <f>(Table1437[[#This Row],[Commercial Bid Price per case for NOI ($)]]-Table1437[[#This Row],[Pass-Thru Value per case ($)]])+Table1437[[#This Row],[Region 2: Fixed Fee Per Case ($)]]</f>
        <v>0</v>
      </c>
      <c r="W43" s="76" t="e">
        <f>(Table1437[[#This Row],[Commercial Bid Price per case for NOI ($)]]+Table1437[[#This Row],[Region 2: Fixed Fee Per Case ($)]])/Table1437[[#This Row],['# of CN Servings per case]]</f>
        <v>#DIV/0!</v>
      </c>
      <c r="X43" s="69" t="e">
        <f>Table1437[[#This Row],[Total Cost Per Serving (O+Q)/J]]*Table1437[[#This Row],[Estimated Servings Annual]]</f>
        <v>#DIV/0!</v>
      </c>
    </row>
    <row r="44" spans="1:24" x14ac:dyDescent="0.35">
      <c r="A44" s="30" t="s">
        <v>37</v>
      </c>
      <c r="B44" s="28" t="s">
        <v>123</v>
      </c>
      <c r="C44" s="7" t="s">
        <v>51</v>
      </c>
      <c r="D44" s="7"/>
      <c r="E44" s="7"/>
      <c r="F44" s="7"/>
      <c r="G44" s="7"/>
      <c r="H44" s="7"/>
      <c r="I44" s="7"/>
      <c r="J44" s="7"/>
      <c r="K44" s="49">
        <v>200000</v>
      </c>
      <c r="L44" s="7"/>
      <c r="M44" s="7"/>
      <c r="N44" s="7"/>
      <c r="O44" s="7"/>
      <c r="P44" s="7"/>
      <c r="Q44" s="7"/>
      <c r="R44" s="7"/>
      <c r="S44" s="70">
        <f>(Table1437[[#This Row],[Commercial Bid Price per case for NOI ($)]]-Table1437[[#This Row],[Pass-Thru Value per case ($)]])+Table1437[[#This Row],[Region 1: Fixed Fee Per Case ($)]]</f>
        <v>0</v>
      </c>
      <c r="T44" s="77" t="e">
        <f>(Table1437[[#This Row],[Commercial Bid Price per case for NOI ($)]]+Table1437[[#This Row],[Region 1: Fixed Fee Per Case ($)]])/Table1437[[#This Row],['# of CN Servings per case]]</f>
        <v>#DIV/0!</v>
      </c>
      <c r="U44" s="71" t="e">
        <f>Table1437[[#This Row],[Total Cost Per Serving (O+P)/J]]*Table1437[[#This Row],[Estimated Servings Annual]]</f>
        <v>#DIV/0!</v>
      </c>
      <c r="V44" s="70">
        <f>(Table1437[[#This Row],[Commercial Bid Price per case for NOI ($)]]-Table1437[[#This Row],[Pass-Thru Value per case ($)]])+Table1437[[#This Row],[Region 2: Fixed Fee Per Case ($)]]</f>
        <v>0</v>
      </c>
      <c r="W44" s="77" t="e">
        <f>(Table1437[[#This Row],[Commercial Bid Price per case for NOI ($)]]+Table1437[[#This Row],[Region 2: Fixed Fee Per Case ($)]])/Table1437[[#This Row],['# of CN Servings per case]]</f>
        <v>#DIV/0!</v>
      </c>
      <c r="X44" s="72" t="e">
        <f>Table1437[[#This Row],[Total Cost Per Serving (O+Q)/J]]*Table1437[[#This Row],[Estimated Servings Annual]]</f>
        <v>#DIV/0!</v>
      </c>
    </row>
    <row r="45" spans="1:24" x14ac:dyDescent="0.35">
      <c r="A45" s="30" t="s">
        <v>37</v>
      </c>
      <c r="B45" s="28" t="s">
        <v>123</v>
      </c>
      <c r="C45" s="7" t="s">
        <v>132</v>
      </c>
      <c r="D45" s="7"/>
      <c r="E45" s="7"/>
      <c r="F45" s="7"/>
      <c r="G45" s="7"/>
      <c r="H45" s="7"/>
      <c r="I45" s="7"/>
      <c r="J45" s="7"/>
      <c r="K45" s="49">
        <v>200000</v>
      </c>
      <c r="L45" s="7"/>
      <c r="M45" s="7"/>
      <c r="N45" s="7"/>
      <c r="O45" s="7"/>
      <c r="P45" s="7"/>
      <c r="Q45" s="7"/>
      <c r="R45" s="7"/>
      <c r="S45" s="70">
        <f>(Table1437[[#This Row],[Commercial Bid Price per case for NOI ($)]]-Table1437[[#This Row],[Pass-Thru Value per case ($)]])+Table1437[[#This Row],[Region 1: Fixed Fee Per Case ($)]]</f>
        <v>0</v>
      </c>
      <c r="T45" s="77" t="e">
        <f>(Table1437[[#This Row],[Commercial Bid Price per case for NOI ($)]]+Table1437[[#This Row],[Region 1: Fixed Fee Per Case ($)]])/Table1437[[#This Row],['# of CN Servings per case]]</f>
        <v>#DIV/0!</v>
      </c>
      <c r="U45" s="71" t="e">
        <f>Table1437[[#This Row],[Total Cost Per Serving (O+P)/J]]*Table1437[[#This Row],[Estimated Servings Annual]]</f>
        <v>#DIV/0!</v>
      </c>
      <c r="V45" s="70">
        <f>(Table1437[[#This Row],[Commercial Bid Price per case for NOI ($)]]-Table1437[[#This Row],[Pass-Thru Value per case ($)]])+Table1437[[#This Row],[Region 2: Fixed Fee Per Case ($)]]</f>
        <v>0</v>
      </c>
      <c r="W45" s="77" t="e">
        <f>(Table1437[[#This Row],[Commercial Bid Price per case for NOI ($)]]+Table1437[[#This Row],[Region 2: Fixed Fee Per Case ($)]])/Table1437[[#This Row],['# of CN Servings per case]]</f>
        <v>#DIV/0!</v>
      </c>
      <c r="X45" s="72" t="e">
        <f>Table1437[[#This Row],[Total Cost Per Serving (O+Q)/J]]*Table1437[[#This Row],[Estimated Servings Annual]]</f>
        <v>#DIV/0!</v>
      </c>
    </row>
    <row r="46" spans="1:24" x14ac:dyDescent="0.35">
      <c r="A46" s="30" t="s">
        <v>37</v>
      </c>
      <c r="B46" s="28" t="s">
        <v>123</v>
      </c>
      <c r="C46" s="7" t="s">
        <v>132</v>
      </c>
      <c r="D46" s="7"/>
      <c r="E46" s="7"/>
      <c r="F46" s="7"/>
      <c r="G46" s="7"/>
      <c r="H46" s="7"/>
      <c r="I46" s="7"/>
      <c r="J46" s="7"/>
      <c r="K46" s="49">
        <v>200000</v>
      </c>
      <c r="L46" s="7"/>
      <c r="M46" s="7"/>
      <c r="N46" s="7"/>
      <c r="O46" s="7"/>
      <c r="P46" s="7"/>
      <c r="Q46" s="7"/>
      <c r="R46" s="7"/>
      <c r="S46" s="70">
        <f>(Table1437[[#This Row],[Commercial Bid Price per case for NOI ($)]]-Table1437[[#This Row],[Pass-Thru Value per case ($)]])+Table1437[[#This Row],[Region 1: Fixed Fee Per Case ($)]]</f>
        <v>0</v>
      </c>
      <c r="T46" s="77" t="e">
        <f>(Table1437[[#This Row],[Commercial Bid Price per case for NOI ($)]]+Table1437[[#This Row],[Region 1: Fixed Fee Per Case ($)]])/Table1437[[#This Row],['# of CN Servings per case]]</f>
        <v>#DIV/0!</v>
      </c>
      <c r="U46" s="71" t="e">
        <f>Table1437[[#This Row],[Total Cost Per Serving (O+P)/J]]*Table1437[[#This Row],[Estimated Servings Annual]]</f>
        <v>#DIV/0!</v>
      </c>
      <c r="V46" s="70">
        <f>(Table1437[[#This Row],[Commercial Bid Price per case for NOI ($)]]-Table1437[[#This Row],[Pass-Thru Value per case ($)]])+Table1437[[#This Row],[Region 2: Fixed Fee Per Case ($)]]</f>
        <v>0</v>
      </c>
      <c r="W46" s="77" t="e">
        <f>(Table1437[[#This Row],[Commercial Bid Price per case for NOI ($)]]+Table1437[[#This Row],[Region 2: Fixed Fee Per Case ($)]])/Table1437[[#This Row],['# of CN Servings per case]]</f>
        <v>#DIV/0!</v>
      </c>
      <c r="X46" s="72" t="e">
        <f>Table1437[[#This Row],[Total Cost Per Serving (O+Q)/J]]*Table1437[[#This Row],[Estimated Servings Annual]]</f>
        <v>#DIV/0!</v>
      </c>
    </row>
    <row r="47" spans="1:24" x14ac:dyDescent="0.35">
      <c r="A47" s="30" t="s">
        <v>37</v>
      </c>
      <c r="B47" s="28" t="s">
        <v>123</v>
      </c>
      <c r="C47" s="7" t="s">
        <v>13</v>
      </c>
      <c r="D47" s="7"/>
      <c r="E47" s="7"/>
      <c r="F47" s="7"/>
      <c r="G47" s="7"/>
      <c r="H47" s="7"/>
      <c r="I47" s="7"/>
      <c r="J47" s="7"/>
      <c r="K47" s="49">
        <v>200000</v>
      </c>
      <c r="L47" s="7"/>
      <c r="M47" s="7"/>
      <c r="N47" s="7"/>
      <c r="O47" s="7"/>
      <c r="P47" s="7"/>
      <c r="Q47" s="7"/>
      <c r="R47" s="7"/>
      <c r="S47" s="70">
        <f>(Table1437[[#This Row],[Commercial Bid Price per case for NOI ($)]]-Table1437[[#This Row],[Pass-Thru Value per case ($)]])+Table1437[[#This Row],[Region 1: Fixed Fee Per Case ($)]]</f>
        <v>0</v>
      </c>
      <c r="T47" s="77" t="e">
        <f>(Table1437[[#This Row],[Commercial Bid Price per case for NOI ($)]]+Table1437[[#This Row],[Region 1: Fixed Fee Per Case ($)]])/Table1437[[#This Row],['# of CN Servings per case]]</f>
        <v>#DIV/0!</v>
      </c>
      <c r="U47" s="71" t="e">
        <f>Table1437[[#This Row],[Total Cost Per Serving (O+P)/J]]*Table1437[[#This Row],[Estimated Servings Annual]]</f>
        <v>#DIV/0!</v>
      </c>
      <c r="V47" s="70">
        <f>(Table1437[[#This Row],[Commercial Bid Price per case for NOI ($)]]-Table1437[[#This Row],[Pass-Thru Value per case ($)]])+Table1437[[#This Row],[Region 2: Fixed Fee Per Case ($)]]</f>
        <v>0</v>
      </c>
      <c r="W47" s="77" t="e">
        <f>(Table1437[[#This Row],[Commercial Bid Price per case for NOI ($)]]+Table1437[[#This Row],[Region 2: Fixed Fee Per Case ($)]])/Table1437[[#This Row],['# of CN Servings per case]]</f>
        <v>#DIV/0!</v>
      </c>
      <c r="X47" s="72" t="e">
        <f>Table1437[[#This Row],[Total Cost Per Serving (O+Q)/J]]*Table1437[[#This Row],[Estimated Servings Annual]]</f>
        <v>#DIV/0!</v>
      </c>
    </row>
    <row r="48" spans="1:24" x14ac:dyDescent="0.35">
      <c r="A48" s="30" t="s">
        <v>37</v>
      </c>
      <c r="B48" s="28" t="s">
        <v>123</v>
      </c>
      <c r="C48" s="7" t="s">
        <v>13</v>
      </c>
      <c r="D48" s="7"/>
      <c r="E48" s="7"/>
      <c r="F48" s="7"/>
      <c r="G48" s="7"/>
      <c r="H48" s="7"/>
      <c r="I48" s="7"/>
      <c r="J48" s="7"/>
      <c r="K48" s="49">
        <v>200000</v>
      </c>
      <c r="L48" s="7"/>
      <c r="M48" s="7"/>
      <c r="N48" s="7"/>
      <c r="O48" s="7"/>
      <c r="P48" s="7"/>
      <c r="Q48" s="7"/>
      <c r="R48" s="7"/>
      <c r="S48" s="70">
        <f>(Table1437[[#This Row],[Commercial Bid Price per case for NOI ($)]]-Table1437[[#This Row],[Pass-Thru Value per case ($)]])+Table1437[[#This Row],[Region 1: Fixed Fee Per Case ($)]]</f>
        <v>0</v>
      </c>
      <c r="T48" s="77" t="e">
        <f>(Table1437[[#This Row],[Commercial Bid Price per case for NOI ($)]]+Table1437[[#This Row],[Region 1: Fixed Fee Per Case ($)]])/Table1437[[#This Row],['# of CN Servings per case]]</f>
        <v>#DIV/0!</v>
      </c>
      <c r="U48" s="71" t="e">
        <f>Table1437[[#This Row],[Total Cost Per Serving (O+P)/J]]*Table1437[[#This Row],[Estimated Servings Annual]]</f>
        <v>#DIV/0!</v>
      </c>
      <c r="V48" s="70">
        <f>(Table1437[[#This Row],[Commercial Bid Price per case for NOI ($)]]-Table1437[[#This Row],[Pass-Thru Value per case ($)]])+Table1437[[#This Row],[Region 2: Fixed Fee Per Case ($)]]</f>
        <v>0</v>
      </c>
      <c r="W48" s="77" t="e">
        <f>(Table1437[[#This Row],[Commercial Bid Price per case for NOI ($)]]+Table1437[[#This Row],[Region 2: Fixed Fee Per Case ($)]])/Table1437[[#This Row],['# of CN Servings per case]]</f>
        <v>#DIV/0!</v>
      </c>
      <c r="X48" s="72" t="e">
        <f>Table1437[[#This Row],[Total Cost Per Serving (O+Q)/J]]*Table1437[[#This Row],[Estimated Servings Annual]]</f>
        <v>#DIV/0!</v>
      </c>
    </row>
    <row r="49" spans="1:24" x14ac:dyDescent="0.35">
      <c r="A49" s="30" t="s">
        <v>37</v>
      </c>
      <c r="B49" s="28" t="s">
        <v>123</v>
      </c>
      <c r="C49" s="7" t="s">
        <v>13</v>
      </c>
      <c r="D49" s="7"/>
      <c r="E49" s="7"/>
      <c r="F49" s="7"/>
      <c r="G49" s="7"/>
      <c r="H49" s="7"/>
      <c r="I49" s="7"/>
      <c r="J49" s="7"/>
      <c r="K49" s="49">
        <v>200000</v>
      </c>
      <c r="L49" s="7"/>
      <c r="M49" s="7"/>
      <c r="N49" s="7"/>
      <c r="O49" s="7"/>
      <c r="P49" s="7"/>
      <c r="Q49" s="7"/>
      <c r="R49" s="7"/>
      <c r="S49" s="70">
        <f>(Table1437[[#This Row],[Commercial Bid Price per case for NOI ($)]]-Table1437[[#This Row],[Pass-Thru Value per case ($)]])+Table1437[[#This Row],[Region 1: Fixed Fee Per Case ($)]]</f>
        <v>0</v>
      </c>
      <c r="T49" s="77" t="e">
        <f>(Table1437[[#This Row],[Commercial Bid Price per case for NOI ($)]]+Table1437[[#This Row],[Region 1: Fixed Fee Per Case ($)]])/Table1437[[#This Row],['# of CN Servings per case]]</f>
        <v>#DIV/0!</v>
      </c>
      <c r="U49" s="71" t="e">
        <f>Table1437[[#This Row],[Total Cost Per Serving (O+P)/J]]*Table1437[[#This Row],[Estimated Servings Annual]]</f>
        <v>#DIV/0!</v>
      </c>
      <c r="V49" s="70">
        <f>(Table1437[[#This Row],[Commercial Bid Price per case for NOI ($)]]-Table1437[[#This Row],[Pass-Thru Value per case ($)]])+Table1437[[#This Row],[Region 2: Fixed Fee Per Case ($)]]</f>
        <v>0</v>
      </c>
      <c r="W49" s="77" t="e">
        <f>(Table1437[[#This Row],[Commercial Bid Price per case for NOI ($)]]+Table1437[[#This Row],[Region 2: Fixed Fee Per Case ($)]])/Table1437[[#This Row],['# of CN Servings per case]]</f>
        <v>#DIV/0!</v>
      </c>
      <c r="X49" s="72" t="e">
        <f>Table1437[[#This Row],[Total Cost Per Serving (O+Q)/J]]*Table1437[[#This Row],[Estimated Servings Annual]]</f>
        <v>#DIV/0!</v>
      </c>
    </row>
    <row r="50" spans="1:24" ht="15" thickBot="1" x14ac:dyDescent="0.4">
      <c r="A50" s="30" t="s">
        <v>37</v>
      </c>
      <c r="B50" s="28" t="s">
        <v>123</v>
      </c>
      <c r="C50" s="8" t="s">
        <v>13</v>
      </c>
      <c r="D50" s="8"/>
      <c r="E50" s="8"/>
      <c r="F50" s="8"/>
      <c r="G50" s="8"/>
      <c r="H50" s="8"/>
      <c r="I50" s="8"/>
      <c r="J50" s="8"/>
      <c r="K50" s="50">
        <v>200000</v>
      </c>
      <c r="L50" s="8"/>
      <c r="M50" s="8"/>
      <c r="N50" s="8"/>
      <c r="O50" s="8"/>
      <c r="P50" s="8"/>
      <c r="Q50" s="8"/>
      <c r="R50" s="8"/>
      <c r="S50" s="73">
        <f>(Table1437[[#This Row],[Commercial Bid Price per case for NOI ($)]]-Table1437[[#This Row],[Pass-Thru Value per case ($)]])+Table1437[[#This Row],[Region 1: Fixed Fee Per Case ($)]]</f>
        <v>0</v>
      </c>
      <c r="T50" s="78" t="e">
        <f>(Table1437[[#This Row],[Commercial Bid Price per case for NOI ($)]]+Table1437[[#This Row],[Region 1: Fixed Fee Per Case ($)]])/Table1437[[#This Row],['# of CN Servings per case]]</f>
        <v>#DIV/0!</v>
      </c>
      <c r="U50" s="74" t="e">
        <f>Table1437[[#This Row],[Total Cost Per Serving (O+P)/J]]*Table1437[[#This Row],[Estimated Servings Annual]]</f>
        <v>#DIV/0!</v>
      </c>
      <c r="V50" s="73">
        <f>(Table1437[[#This Row],[Commercial Bid Price per case for NOI ($)]]-Table1437[[#This Row],[Pass-Thru Value per case ($)]])+Table1437[[#This Row],[Region 2: Fixed Fee Per Case ($)]]</f>
        <v>0</v>
      </c>
      <c r="W50" s="78" t="e">
        <f>(Table1437[[#This Row],[Commercial Bid Price per case for NOI ($)]]+Table1437[[#This Row],[Region 2: Fixed Fee Per Case ($)]])/Table1437[[#This Row],['# of CN Servings per case]]</f>
        <v>#DIV/0!</v>
      </c>
      <c r="X50" s="75" t="e">
        <f>Table1437[[#This Row],[Total Cost Per Serving (O+Q)/J]]*Table1437[[#This Row],[Estimated Servings Annual]]</f>
        <v>#DIV/0!</v>
      </c>
    </row>
    <row r="51" spans="1:24" x14ac:dyDescent="0.35">
      <c r="A51" s="30" t="s">
        <v>37</v>
      </c>
      <c r="B51" s="42" t="s">
        <v>124</v>
      </c>
      <c r="C51" s="6" t="s">
        <v>51</v>
      </c>
      <c r="D51" s="6"/>
      <c r="E51" s="6"/>
      <c r="F51" s="6"/>
      <c r="G51" s="6"/>
      <c r="H51" s="6"/>
      <c r="I51" s="6"/>
      <c r="J51" s="6"/>
      <c r="K51" s="48">
        <v>60000</v>
      </c>
      <c r="L51" s="6"/>
      <c r="M51" s="6"/>
      <c r="N51" s="6"/>
      <c r="O51" s="6"/>
      <c r="P51" s="6"/>
      <c r="Q51" s="6"/>
      <c r="R51" s="6"/>
      <c r="S51" s="67">
        <f>(Table1437[[#This Row],[Commercial Bid Price per case for NOI ($)]]-Table1437[[#This Row],[Pass-Thru Value per case ($)]])+Table1437[[#This Row],[Region 1: Fixed Fee Per Case ($)]]</f>
        <v>0</v>
      </c>
      <c r="T51" s="76" t="e">
        <f>(Table1437[[#This Row],[Commercial Bid Price per case for NOI ($)]]+Table1437[[#This Row],[Region 1: Fixed Fee Per Case ($)]])/Table1437[[#This Row],['# of CN Servings per case]]</f>
        <v>#DIV/0!</v>
      </c>
      <c r="U51" s="68" t="e">
        <f>Table1437[[#This Row],[Total Cost Per Serving (O+P)/J]]*Table1437[[#This Row],[Estimated Servings Annual]]</f>
        <v>#DIV/0!</v>
      </c>
      <c r="V51" s="67">
        <f>(Table1437[[#This Row],[Commercial Bid Price per case for NOI ($)]]-Table1437[[#This Row],[Pass-Thru Value per case ($)]])+Table1437[[#This Row],[Region 2: Fixed Fee Per Case ($)]]</f>
        <v>0</v>
      </c>
      <c r="W51" s="76" t="e">
        <f>(Table1437[[#This Row],[Commercial Bid Price per case for NOI ($)]]+Table1437[[#This Row],[Region 2: Fixed Fee Per Case ($)]])/Table1437[[#This Row],['# of CN Servings per case]]</f>
        <v>#DIV/0!</v>
      </c>
      <c r="X51" s="69" t="e">
        <f>Table1437[[#This Row],[Total Cost Per Serving (O+Q)/J]]*Table1437[[#This Row],[Estimated Servings Annual]]</f>
        <v>#DIV/0!</v>
      </c>
    </row>
    <row r="52" spans="1:24" x14ac:dyDescent="0.35">
      <c r="A52" s="30" t="s">
        <v>37</v>
      </c>
      <c r="B52" s="28" t="s">
        <v>124</v>
      </c>
      <c r="C52" s="7" t="s">
        <v>51</v>
      </c>
      <c r="D52" s="7"/>
      <c r="E52" s="7"/>
      <c r="F52" s="7"/>
      <c r="G52" s="7"/>
      <c r="H52" s="7"/>
      <c r="I52" s="7"/>
      <c r="J52" s="7"/>
      <c r="K52" s="49">
        <v>60000</v>
      </c>
      <c r="L52" s="7"/>
      <c r="M52" s="7"/>
      <c r="N52" s="7"/>
      <c r="O52" s="7"/>
      <c r="P52" s="7"/>
      <c r="Q52" s="7"/>
      <c r="R52" s="7"/>
      <c r="S52" s="70">
        <f>(Table1437[[#This Row],[Commercial Bid Price per case for NOI ($)]]-Table1437[[#This Row],[Pass-Thru Value per case ($)]])+Table1437[[#This Row],[Region 1: Fixed Fee Per Case ($)]]</f>
        <v>0</v>
      </c>
      <c r="T52" s="77" t="e">
        <f>(Table1437[[#This Row],[Commercial Bid Price per case for NOI ($)]]+Table1437[[#This Row],[Region 1: Fixed Fee Per Case ($)]])/Table1437[[#This Row],['# of CN Servings per case]]</f>
        <v>#DIV/0!</v>
      </c>
      <c r="U52" s="71" t="e">
        <f>Table1437[[#This Row],[Total Cost Per Serving (O+P)/J]]*Table1437[[#This Row],[Estimated Servings Annual]]</f>
        <v>#DIV/0!</v>
      </c>
      <c r="V52" s="70">
        <f>(Table1437[[#This Row],[Commercial Bid Price per case for NOI ($)]]-Table1437[[#This Row],[Pass-Thru Value per case ($)]])+Table1437[[#This Row],[Region 2: Fixed Fee Per Case ($)]]</f>
        <v>0</v>
      </c>
      <c r="W52" s="77" t="e">
        <f>(Table1437[[#This Row],[Commercial Bid Price per case for NOI ($)]]+Table1437[[#This Row],[Region 2: Fixed Fee Per Case ($)]])/Table1437[[#This Row],['# of CN Servings per case]]</f>
        <v>#DIV/0!</v>
      </c>
      <c r="X52" s="72" t="e">
        <f>Table1437[[#This Row],[Total Cost Per Serving (O+Q)/J]]*Table1437[[#This Row],[Estimated Servings Annual]]</f>
        <v>#DIV/0!</v>
      </c>
    </row>
    <row r="53" spans="1:24" x14ac:dyDescent="0.35">
      <c r="A53" s="30" t="s">
        <v>37</v>
      </c>
      <c r="B53" s="28" t="s">
        <v>124</v>
      </c>
      <c r="C53" s="7" t="s">
        <v>132</v>
      </c>
      <c r="D53" s="7"/>
      <c r="E53" s="7"/>
      <c r="F53" s="7"/>
      <c r="G53" s="7"/>
      <c r="H53" s="7"/>
      <c r="I53" s="7"/>
      <c r="J53" s="7"/>
      <c r="K53" s="49">
        <v>60000</v>
      </c>
      <c r="L53" s="7"/>
      <c r="M53" s="7"/>
      <c r="N53" s="7"/>
      <c r="O53" s="7"/>
      <c r="P53" s="7"/>
      <c r="Q53" s="7"/>
      <c r="R53" s="7"/>
      <c r="S53" s="70">
        <f>(Table1437[[#This Row],[Commercial Bid Price per case for NOI ($)]]-Table1437[[#This Row],[Pass-Thru Value per case ($)]])+Table1437[[#This Row],[Region 1: Fixed Fee Per Case ($)]]</f>
        <v>0</v>
      </c>
      <c r="T53" s="77" t="e">
        <f>(Table1437[[#This Row],[Commercial Bid Price per case for NOI ($)]]+Table1437[[#This Row],[Region 1: Fixed Fee Per Case ($)]])/Table1437[[#This Row],['# of CN Servings per case]]</f>
        <v>#DIV/0!</v>
      </c>
      <c r="U53" s="71" t="e">
        <f>Table1437[[#This Row],[Total Cost Per Serving (O+P)/J]]*Table1437[[#This Row],[Estimated Servings Annual]]</f>
        <v>#DIV/0!</v>
      </c>
      <c r="V53" s="70">
        <f>(Table1437[[#This Row],[Commercial Bid Price per case for NOI ($)]]-Table1437[[#This Row],[Pass-Thru Value per case ($)]])+Table1437[[#This Row],[Region 2: Fixed Fee Per Case ($)]]</f>
        <v>0</v>
      </c>
      <c r="W53" s="77" t="e">
        <f>(Table1437[[#This Row],[Commercial Bid Price per case for NOI ($)]]+Table1437[[#This Row],[Region 2: Fixed Fee Per Case ($)]])/Table1437[[#This Row],['# of CN Servings per case]]</f>
        <v>#DIV/0!</v>
      </c>
      <c r="X53" s="72" t="e">
        <f>Table1437[[#This Row],[Total Cost Per Serving (O+Q)/J]]*Table1437[[#This Row],[Estimated Servings Annual]]</f>
        <v>#DIV/0!</v>
      </c>
    </row>
    <row r="54" spans="1:24" x14ac:dyDescent="0.35">
      <c r="A54" s="30" t="s">
        <v>37</v>
      </c>
      <c r="B54" s="28" t="s">
        <v>124</v>
      </c>
      <c r="C54" s="7" t="s">
        <v>132</v>
      </c>
      <c r="D54" s="7"/>
      <c r="E54" s="7"/>
      <c r="F54" s="7"/>
      <c r="G54" s="7"/>
      <c r="H54" s="7"/>
      <c r="I54" s="7"/>
      <c r="J54" s="7"/>
      <c r="K54" s="49">
        <v>60000</v>
      </c>
      <c r="L54" s="7"/>
      <c r="M54" s="7"/>
      <c r="N54" s="7"/>
      <c r="O54" s="7"/>
      <c r="P54" s="7"/>
      <c r="Q54" s="7"/>
      <c r="R54" s="7"/>
      <c r="S54" s="70">
        <f>(Table1437[[#This Row],[Commercial Bid Price per case for NOI ($)]]-Table1437[[#This Row],[Pass-Thru Value per case ($)]])+Table1437[[#This Row],[Region 1: Fixed Fee Per Case ($)]]</f>
        <v>0</v>
      </c>
      <c r="T54" s="77" t="e">
        <f>(Table1437[[#This Row],[Commercial Bid Price per case for NOI ($)]]+Table1437[[#This Row],[Region 1: Fixed Fee Per Case ($)]])/Table1437[[#This Row],['# of CN Servings per case]]</f>
        <v>#DIV/0!</v>
      </c>
      <c r="U54" s="71" t="e">
        <f>Table1437[[#This Row],[Total Cost Per Serving (O+P)/J]]*Table1437[[#This Row],[Estimated Servings Annual]]</f>
        <v>#DIV/0!</v>
      </c>
      <c r="V54" s="70">
        <f>(Table1437[[#This Row],[Commercial Bid Price per case for NOI ($)]]-Table1437[[#This Row],[Pass-Thru Value per case ($)]])+Table1437[[#This Row],[Region 2: Fixed Fee Per Case ($)]]</f>
        <v>0</v>
      </c>
      <c r="W54" s="77" t="e">
        <f>(Table1437[[#This Row],[Commercial Bid Price per case for NOI ($)]]+Table1437[[#This Row],[Region 2: Fixed Fee Per Case ($)]])/Table1437[[#This Row],['# of CN Servings per case]]</f>
        <v>#DIV/0!</v>
      </c>
      <c r="X54" s="72" t="e">
        <f>Table1437[[#This Row],[Total Cost Per Serving (O+Q)/J]]*Table1437[[#This Row],[Estimated Servings Annual]]</f>
        <v>#DIV/0!</v>
      </c>
    </row>
    <row r="55" spans="1:24" x14ac:dyDescent="0.35">
      <c r="A55" s="30" t="s">
        <v>37</v>
      </c>
      <c r="B55" s="28" t="s">
        <v>124</v>
      </c>
      <c r="C55" s="7" t="s">
        <v>52</v>
      </c>
      <c r="D55" s="7"/>
      <c r="E55" s="7"/>
      <c r="F55" s="7"/>
      <c r="G55" s="7"/>
      <c r="H55" s="7"/>
      <c r="I55" s="7"/>
      <c r="J55" s="7"/>
      <c r="K55" s="49">
        <v>60000</v>
      </c>
      <c r="L55" s="7"/>
      <c r="M55" s="7"/>
      <c r="N55" s="7"/>
      <c r="O55" s="7"/>
      <c r="P55" s="7"/>
      <c r="Q55" s="7"/>
      <c r="R55" s="7"/>
      <c r="S55" s="70">
        <f>(Table1437[[#This Row],[Commercial Bid Price per case for NOI ($)]]-Table1437[[#This Row],[Pass-Thru Value per case ($)]])+Table1437[[#This Row],[Region 1: Fixed Fee Per Case ($)]]</f>
        <v>0</v>
      </c>
      <c r="T55" s="77" t="e">
        <f>(Table1437[[#This Row],[Commercial Bid Price per case for NOI ($)]]+Table1437[[#This Row],[Region 1: Fixed Fee Per Case ($)]])/Table1437[[#This Row],['# of CN Servings per case]]</f>
        <v>#DIV/0!</v>
      </c>
      <c r="U55" s="71" t="e">
        <f>Table1437[[#This Row],[Total Cost Per Serving (O+P)/J]]*Table1437[[#This Row],[Estimated Servings Annual]]</f>
        <v>#DIV/0!</v>
      </c>
      <c r="V55" s="70">
        <f>(Table1437[[#This Row],[Commercial Bid Price per case for NOI ($)]]-Table1437[[#This Row],[Pass-Thru Value per case ($)]])+Table1437[[#This Row],[Region 2: Fixed Fee Per Case ($)]]</f>
        <v>0</v>
      </c>
      <c r="W55" s="77" t="e">
        <f>(Table1437[[#This Row],[Commercial Bid Price per case for NOI ($)]]+Table1437[[#This Row],[Region 2: Fixed Fee Per Case ($)]])/Table1437[[#This Row],['# of CN Servings per case]]</f>
        <v>#DIV/0!</v>
      </c>
      <c r="X55" s="72" t="e">
        <f>Table1437[[#This Row],[Total Cost Per Serving (O+Q)/J]]*Table1437[[#This Row],[Estimated Servings Annual]]</f>
        <v>#DIV/0!</v>
      </c>
    </row>
    <row r="56" spans="1:24" x14ac:dyDescent="0.35">
      <c r="A56" s="30" t="s">
        <v>37</v>
      </c>
      <c r="B56" s="28" t="s">
        <v>124</v>
      </c>
      <c r="C56" s="7" t="s">
        <v>52</v>
      </c>
      <c r="D56" s="7"/>
      <c r="E56" s="7"/>
      <c r="F56" s="7"/>
      <c r="G56" s="7"/>
      <c r="H56" s="7"/>
      <c r="I56" s="7"/>
      <c r="J56" s="7"/>
      <c r="K56" s="49">
        <v>60000</v>
      </c>
      <c r="L56" s="7"/>
      <c r="M56" s="7"/>
      <c r="N56" s="7"/>
      <c r="O56" s="7"/>
      <c r="P56" s="7"/>
      <c r="Q56" s="7"/>
      <c r="R56" s="7"/>
      <c r="S56" s="70">
        <f>(Table1437[[#This Row],[Commercial Bid Price per case for NOI ($)]]-Table1437[[#This Row],[Pass-Thru Value per case ($)]])+Table1437[[#This Row],[Region 1: Fixed Fee Per Case ($)]]</f>
        <v>0</v>
      </c>
      <c r="T56" s="77" t="e">
        <f>(Table1437[[#This Row],[Commercial Bid Price per case for NOI ($)]]+Table1437[[#This Row],[Region 1: Fixed Fee Per Case ($)]])/Table1437[[#This Row],['# of CN Servings per case]]</f>
        <v>#DIV/0!</v>
      </c>
      <c r="U56" s="71" t="e">
        <f>Table1437[[#This Row],[Total Cost Per Serving (O+P)/J]]*Table1437[[#This Row],[Estimated Servings Annual]]</f>
        <v>#DIV/0!</v>
      </c>
      <c r="V56" s="70">
        <f>(Table1437[[#This Row],[Commercial Bid Price per case for NOI ($)]]-Table1437[[#This Row],[Pass-Thru Value per case ($)]])+Table1437[[#This Row],[Region 2: Fixed Fee Per Case ($)]]</f>
        <v>0</v>
      </c>
      <c r="W56" s="77" t="e">
        <f>(Table1437[[#This Row],[Commercial Bid Price per case for NOI ($)]]+Table1437[[#This Row],[Region 2: Fixed Fee Per Case ($)]])/Table1437[[#This Row],['# of CN Servings per case]]</f>
        <v>#DIV/0!</v>
      </c>
      <c r="X56" s="72" t="e">
        <f>Table1437[[#This Row],[Total Cost Per Serving (O+Q)/J]]*Table1437[[#This Row],[Estimated Servings Annual]]</f>
        <v>#DIV/0!</v>
      </c>
    </row>
    <row r="57" spans="1:24" x14ac:dyDescent="0.35">
      <c r="A57" s="30" t="s">
        <v>37</v>
      </c>
      <c r="B57" s="28" t="s">
        <v>124</v>
      </c>
      <c r="C57" s="7" t="s">
        <v>13</v>
      </c>
      <c r="D57" s="7"/>
      <c r="E57" s="7"/>
      <c r="F57" s="7"/>
      <c r="G57" s="7"/>
      <c r="H57" s="7"/>
      <c r="I57" s="7"/>
      <c r="J57" s="7"/>
      <c r="K57" s="49">
        <v>60000</v>
      </c>
      <c r="L57" s="7"/>
      <c r="M57" s="7"/>
      <c r="N57" s="7"/>
      <c r="O57" s="7"/>
      <c r="P57" s="7"/>
      <c r="Q57" s="7"/>
      <c r="R57" s="7"/>
      <c r="S57" s="70">
        <f>(Table1437[[#This Row],[Commercial Bid Price per case for NOI ($)]]-Table1437[[#This Row],[Pass-Thru Value per case ($)]])+Table1437[[#This Row],[Region 1: Fixed Fee Per Case ($)]]</f>
        <v>0</v>
      </c>
      <c r="T57" s="77" t="e">
        <f>(Table1437[[#This Row],[Commercial Bid Price per case for NOI ($)]]+Table1437[[#This Row],[Region 1: Fixed Fee Per Case ($)]])/Table1437[[#This Row],['# of CN Servings per case]]</f>
        <v>#DIV/0!</v>
      </c>
      <c r="U57" s="71" t="e">
        <f>Table1437[[#This Row],[Total Cost Per Serving (O+P)/J]]*Table1437[[#This Row],[Estimated Servings Annual]]</f>
        <v>#DIV/0!</v>
      </c>
      <c r="V57" s="70">
        <f>(Table1437[[#This Row],[Commercial Bid Price per case for NOI ($)]]-Table1437[[#This Row],[Pass-Thru Value per case ($)]])+Table1437[[#This Row],[Region 2: Fixed Fee Per Case ($)]]</f>
        <v>0</v>
      </c>
      <c r="W57" s="77" t="e">
        <f>(Table1437[[#This Row],[Commercial Bid Price per case for NOI ($)]]+Table1437[[#This Row],[Region 2: Fixed Fee Per Case ($)]])/Table1437[[#This Row],['# of CN Servings per case]]</f>
        <v>#DIV/0!</v>
      </c>
      <c r="X57" s="72" t="e">
        <f>Table1437[[#This Row],[Total Cost Per Serving (O+Q)/J]]*Table1437[[#This Row],[Estimated Servings Annual]]</f>
        <v>#DIV/0!</v>
      </c>
    </row>
    <row r="58" spans="1:24" ht="15" thickBot="1" x14ac:dyDescent="0.4">
      <c r="A58" s="30" t="s">
        <v>37</v>
      </c>
      <c r="B58" s="28" t="s">
        <v>124</v>
      </c>
      <c r="C58" s="27" t="s">
        <v>13</v>
      </c>
      <c r="D58" s="8"/>
      <c r="E58" s="8"/>
      <c r="F58" s="8"/>
      <c r="G58" s="8"/>
      <c r="H58" s="8"/>
      <c r="I58" s="8"/>
      <c r="J58" s="8"/>
      <c r="K58" s="50">
        <v>60000</v>
      </c>
      <c r="L58" s="8"/>
      <c r="M58" s="8"/>
      <c r="N58" s="8"/>
      <c r="O58" s="8"/>
      <c r="P58" s="8"/>
      <c r="Q58" s="8"/>
      <c r="R58" s="8"/>
      <c r="S58" s="73">
        <f>(Table1437[[#This Row],[Commercial Bid Price per case for NOI ($)]]-Table1437[[#This Row],[Pass-Thru Value per case ($)]])+Table1437[[#This Row],[Region 1: Fixed Fee Per Case ($)]]</f>
        <v>0</v>
      </c>
      <c r="T58" s="78" t="e">
        <f>(Table1437[[#This Row],[Commercial Bid Price per case for NOI ($)]]+Table1437[[#This Row],[Region 1: Fixed Fee Per Case ($)]])/Table1437[[#This Row],['# of CN Servings per case]]</f>
        <v>#DIV/0!</v>
      </c>
      <c r="U58" s="74" t="e">
        <f>Table1437[[#This Row],[Total Cost Per Serving (O+P)/J]]*Table1437[[#This Row],[Estimated Servings Annual]]</f>
        <v>#DIV/0!</v>
      </c>
      <c r="V58" s="73">
        <f>(Table1437[[#This Row],[Commercial Bid Price per case for NOI ($)]]-Table1437[[#This Row],[Pass-Thru Value per case ($)]])+Table1437[[#This Row],[Region 2: Fixed Fee Per Case ($)]]</f>
        <v>0</v>
      </c>
      <c r="W58" s="78" t="e">
        <f>(Table1437[[#This Row],[Commercial Bid Price per case for NOI ($)]]+Table1437[[#This Row],[Region 2: Fixed Fee Per Case ($)]])/Table1437[[#This Row],['# of CN Servings per case]]</f>
        <v>#DIV/0!</v>
      </c>
      <c r="X58" s="75" t="e">
        <f>Table1437[[#This Row],[Total Cost Per Serving (O+Q)/J]]*Table1437[[#This Row],[Estimated Servings Annual]]</f>
        <v>#DIV/0!</v>
      </c>
    </row>
    <row r="59" spans="1:24" x14ac:dyDescent="0.35">
      <c r="A59" s="30" t="s">
        <v>37</v>
      </c>
      <c r="B59" s="42" t="s">
        <v>125</v>
      </c>
      <c r="C59" s="6" t="s">
        <v>132</v>
      </c>
      <c r="D59" s="6"/>
      <c r="E59" s="6"/>
      <c r="F59" s="6"/>
      <c r="G59" s="6"/>
      <c r="H59" s="6"/>
      <c r="I59" s="6"/>
      <c r="J59" s="6"/>
      <c r="K59" s="48">
        <v>350000</v>
      </c>
      <c r="L59" s="6"/>
      <c r="M59" s="6"/>
      <c r="N59" s="6"/>
      <c r="O59" s="6"/>
      <c r="P59" s="6"/>
      <c r="Q59" s="6"/>
      <c r="R59" s="6"/>
      <c r="S59" s="79">
        <f>(Table1437[[#This Row],[Commercial Bid Price per case for NOI ($)]]-Table1437[[#This Row],[Pass-Thru Value per case ($)]])+Table1437[[#This Row],[Region 1: Fixed Fee Per Case ($)]]</f>
        <v>0</v>
      </c>
      <c r="T59" s="76" t="e">
        <f>(Table1437[[#This Row],[Commercial Bid Price per case for NOI ($)]]+Table1437[[#This Row],[Region 1: Fixed Fee Per Case ($)]])/Table1437[[#This Row],['# of CN Servings per case]]</f>
        <v>#DIV/0!</v>
      </c>
      <c r="U59" s="76" t="e">
        <f>Table1437[[#This Row],[Total Cost Per Serving (O+P)/J]]*Table1437[[#This Row],[Estimated Servings Annual]]</f>
        <v>#DIV/0!</v>
      </c>
      <c r="V59" s="79">
        <f>(Table1437[[#This Row],[Commercial Bid Price per case for NOI ($)]]-Table1437[[#This Row],[Pass-Thru Value per case ($)]])+Table1437[[#This Row],[Region 2: Fixed Fee Per Case ($)]]</f>
        <v>0</v>
      </c>
      <c r="W59" s="76" t="e">
        <f>(Table1437[[#This Row],[Commercial Bid Price per case for NOI ($)]]+Table1437[[#This Row],[Region 2: Fixed Fee Per Case ($)]])/Table1437[[#This Row],['# of CN Servings per case]]</f>
        <v>#DIV/0!</v>
      </c>
      <c r="X59" s="80" t="e">
        <f>Table1437[[#This Row],[Total Cost Per Serving (O+Q)/J]]*Table1437[[#This Row],[Estimated Servings Annual]]</f>
        <v>#DIV/0!</v>
      </c>
    </row>
    <row r="60" spans="1:24" x14ac:dyDescent="0.35">
      <c r="A60" s="30" t="s">
        <v>37</v>
      </c>
      <c r="B60" s="28" t="s">
        <v>125</v>
      </c>
      <c r="C60" s="7" t="s">
        <v>132</v>
      </c>
      <c r="D60" s="7"/>
      <c r="E60" s="7"/>
      <c r="F60" s="7"/>
      <c r="G60" s="7"/>
      <c r="H60" s="7"/>
      <c r="I60" s="7"/>
      <c r="J60" s="7"/>
      <c r="K60" s="49">
        <v>350000</v>
      </c>
      <c r="L60" s="7"/>
      <c r="M60" s="7"/>
      <c r="N60" s="7"/>
      <c r="O60" s="7"/>
      <c r="P60" s="7"/>
      <c r="Q60" s="7"/>
      <c r="R60" s="7"/>
      <c r="S60" s="81">
        <f>(Table1437[[#This Row],[Commercial Bid Price per case for NOI ($)]]-Table1437[[#This Row],[Pass-Thru Value per case ($)]])+Table1437[[#This Row],[Region 1: Fixed Fee Per Case ($)]]</f>
        <v>0</v>
      </c>
      <c r="T60" s="77" t="e">
        <f>(Table1437[[#This Row],[Commercial Bid Price per case for NOI ($)]]+Table1437[[#This Row],[Region 1: Fixed Fee Per Case ($)]])/Table1437[[#This Row],['# of CN Servings per case]]</f>
        <v>#DIV/0!</v>
      </c>
      <c r="U60" s="77" t="e">
        <f>Table1437[[#This Row],[Total Cost Per Serving (O+P)/J]]*Table1437[[#This Row],[Estimated Servings Annual]]</f>
        <v>#DIV/0!</v>
      </c>
      <c r="V60" s="81">
        <f>(Table1437[[#This Row],[Commercial Bid Price per case for NOI ($)]]-Table1437[[#This Row],[Pass-Thru Value per case ($)]])+Table1437[[#This Row],[Region 2: Fixed Fee Per Case ($)]]</f>
        <v>0</v>
      </c>
      <c r="W60" s="77" t="e">
        <f>(Table1437[[#This Row],[Commercial Bid Price per case for NOI ($)]]+Table1437[[#This Row],[Region 2: Fixed Fee Per Case ($)]])/Table1437[[#This Row],['# of CN Servings per case]]</f>
        <v>#DIV/0!</v>
      </c>
      <c r="X60" s="82" t="e">
        <f>Table1437[[#This Row],[Total Cost Per Serving (O+Q)/J]]*Table1437[[#This Row],[Estimated Servings Annual]]</f>
        <v>#DIV/0!</v>
      </c>
    </row>
    <row r="61" spans="1:24" x14ac:dyDescent="0.35">
      <c r="A61" s="30" t="s">
        <v>37</v>
      </c>
      <c r="B61" s="28" t="s">
        <v>125</v>
      </c>
      <c r="C61" s="7" t="s">
        <v>52</v>
      </c>
      <c r="D61" s="7"/>
      <c r="E61" s="7"/>
      <c r="F61" s="7"/>
      <c r="G61" s="7"/>
      <c r="H61" s="7"/>
      <c r="I61" s="7"/>
      <c r="J61" s="7"/>
      <c r="K61" s="49">
        <v>350000</v>
      </c>
      <c r="L61" s="7"/>
      <c r="M61" s="7"/>
      <c r="N61" s="7"/>
      <c r="O61" s="7"/>
      <c r="P61" s="7"/>
      <c r="Q61" s="7"/>
      <c r="R61" s="7"/>
      <c r="S61" s="81">
        <f>(Table1437[[#This Row],[Commercial Bid Price per case for NOI ($)]]-Table1437[[#This Row],[Pass-Thru Value per case ($)]])+Table1437[[#This Row],[Region 1: Fixed Fee Per Case ($)]]</f>
        <v>0</v>
      </c>
      <c r="T61" s="77" t="e">
        <f>(Table1437[[#This Row],[Commercial Bid Price per case for NOI ($)]]+Table1437[[#This Row],[Region 1: Fixed Fee Per Case ($)]])/Table1437[[#This Row],['# of CN Servings per case]]</f>
        <v>#DIV/0!</v>
      </c>
      <c r="U61" s="77" t="e">
        <f>Table1437[[#This Row],[Total Cost Per Serving (O+P)/J]]*Table1437[[#This Row],[Estimated Servings Annual]]</f>
        <v>#DIV/0!</v>
      </c>
      <c r="V61" s="81">
        <f>(Table1437[[#This Row],[Commercial Bid Price per case for NOI ($)]]-Table1437[[#This Row],[Pass-Thru Value per case ($)]])+Table1437[[#This Row],[Region 2: Fixed Fee Per Case ($)]]</f>
        <v>0</v>
      </c>
      <c r="W61" s="77" t="e">
        <f>(Table1437[[#This Row],[Commercial Bid Price per case for NOI ($)]]+Table1437[[#This Row],[Region 2: Fixed Fee Per Case ($)]])/Table1437[[#This Row],['# of CN Servings per case]]</f>
        <v>#DIV/0!</v>
      </c>
      <c r="X61" s="82" t="e">
        <f>Table1437[[#This Row],[Total Cost Per Serving (O+Q)/J]]*Table1437[[#This Row],[Estimated Servings Annual]]</f>
        <v>#DIV/0!</v>
      </c>
    </row>
    <row r="62" spans="1:24" x14ac:dyDescent="0.35">
      <c r="A62" s="30" t="s">
        <v>37</v>
      </c>
      <c r="B62" s="28" t="s">
        <v>125</v>
      </c>
      <c r="C62" s="7" t="s">
        <v>52</v>
      </c>
      <c r="D62" s="7"/>
      <c r="E62" s="7"/>
      <c r="F62" s="7"/>
      <c r="G62" s="7"/>
      <c r="H62" s="7"/>
      <c r="I62" s="7"/>
      <c r="J62" s="7"/>
      <c r="K62" s="49">
        <v>350000</v>
      </c>
      <c r="L62" s="7"/>
      <c r="M62" s="7"/>
      <c r="N62" s="7"/>
      <c r="O62" s="7"/>
      <c r="P62" s="7"/>
      <c r="Q62" s="7"/>
      <c r="R62" s="7"/>
      <c r="S62" s="81">
        <f>(Table1437[[#This Row],[Commercial Bid Price per case for NOI ($)]]-Table1437[[#This Row],[Pass-Thru Value per case ($)]])+Table1437[[#This Row],[Region 1: Fixed Fee Per Case ($)]]</f>
        <v>0</v>
      </c>
      <c r="T62" s="77" t="e">
        <f>(Table1437[[#This Row],[Commercial Bid Price per case for NOI ($)]]+Table1437[[#This Row],[Region 1: Fixed Fee Per Case ($)]])/Table1437[[#This Row],['# of CN Servings per case]]</f>
        <v>#DIV/0!</v>
      </c>
      <c r="U62" s="77" t="e">
        <f>Table1437[[#This Row],[Total Cost Per Serving (O+P)/J]]*Table1437[[#This Row],[Estimated Servings Annual]]</f>
        <v>#DIV/0!</v>
      </c>
      <c r="V62" s="81">
        <f>(Table1437[[#This Row],[Commercial Bid Price per case for NOI ($)]]-Table1437[[#This Row],[Pass-Thru Value per case ($)]])+Table1437[[#This Row],[Region 2: Fixed Fee Per Case ($)]]</f>
        <v>0</v>
      </c>
      <c r="W62" s="77" t="e">
        <f>(Table1437[[#This Row],[Commercial Bid Price per case for NOI ($)]]+Table1437[[#This Row],[Region 2: Fixed Fee Per Case ($)]])/Table1437[[#This Row],['# of CN Servings per case]]</f>
        <v>#DIV/0!</v>
      </c>
      <c r="X62" s="82" t="e">
        <f>Table1437[[#This Row],[Total Cost Per Serving (O+Q)/J]]*Table1437[[#This Row],[Estimated Servings Annual]]</f>
        <v>#DIV/0!</v>
      </c>
    </row>
    <row r="63" spans="1:24" x14ac:dyDescent="0.35">
      <c r="A63" s="30" t="s">
        <v>37</v>
      </c>
      <c r="B63" s="28" t="s">
        <v>125</v>
      </c>
      <c r="C63" s="7" t="s">
        <v>13</v>
      </c>
      <c r="D63" s="7"/>
      <c r="E63" s="7"/>
      <c r="F63" s="7"/>
      <c r="G63" s="7"/>
      <c r="H63" s="7"/>
      <c r="I63" s="7"/>
      <c r="J63" s="7"/>
      <c r="K63" s="49">
        <v>350000</v>
      </c>
      <c r="L63" s="7"/>
      <c r="M63" s="7"/>
      <c r="N63" s="7"/>
      <c r="O63" s="7"/>
      <c r="P63" s="7"/>
      <c r="Q63" s="7"/>
      <c r="R63" s="7"/>
      <c r="S63" s="81">
        <f>(Table1437[[#This Row],[Commercial Bid Price per case for NOI ($)]]-Table1437[[#This Row],[Pass-Thru Value per case ($)]])+Table1437[[#This Row],[Region 1: Fixed Fee Per Case ($)]]</f>
        <v>0</v>
      </c>
      <c r="T63" s="77" t="e">
        <f>(Table1437[[#This Row],[Commercial Bid Price per case for NOI ($)]]+Table1437[[#This Row],[Region 1: Fixed Fee Per Case ($)]])/Table1437[[#This Row],['# of CN Servings per case]]</f>
        <v>#DIV/0!</v>
      </c>
      <c r="U63" s="77" t="e">
        <f>Table1437[[#This Row],[Total Cost Per Serving (O+P)/J]]*Table1437[[#This Row],[Estimated Servings Annual]]</f>
        <v>#DIV/0!</v>
      </c>
      <c r="V63" s="81">
        <f>(Table1437[[#This Row],[Commercial Bid Price per case for NOI ($)]]-Table1437[[#This Row],[Pass-Thru Value per case ($)]])+Table1437[[#This Row],[Region 2: Fixed Fee Per Case ($)]]</f>
        <v>0</v>
      </c>
      <c r="W63" s="77" t="e">
        <f>(Table1437[[#This Row],[Commercial Bid Price per case for NOI ($)]]+Table1437[[#This Row],[Region 2: Fixed Fee Per Case ($)]])/Table1437[[#This Row],['# of CN Servings per case]]</f>
        <v>#DIV/0!</v>
      </c>
      <c r="X63" s="82" t="e">
        <f>Table1437[[#This Row],[Total Cost Per Serving (O+Q)/J]]*Table1437[[#This Row],[Estimated Servings Annual]]</f>
        <v>#DIV/0!</v>
      </c>
    </row>
    <row r="64" spans="1:24" x14ac:dyDescent="0.35">
      <c r="A64" s="30" t="s">
        <v>37</v>
      </c>
      <c r="B64" s="28" t="s">
        <v>125</v>
      </c>
      <c r="C64" s="7" t="s">
        <v>13</v>
      </c>
      <c r="D64" s="7"/>
      <c r="E64" s="7"/>
      <c r="F64" s="7"/>
      <c r="G64" s="7"/>
      <c r="H64" s="7"/>
      <c r="I64" s="7"/>
      <c r="J64" s="7"/>
      <c r="K64" s="49">
        <v>350000</v>
      </c>
      <c r="L64" s="7"/>
      <c r="M64" s="7"/>
      <c r="N64" s="7"/>
      <c r="O64" s="7"/>
      <c r="P64" s="7"/>
      <c r="Q64" s="7"/>
      <c r="R64" s="7"/>
      <c r="S64" s="81">
        <f>(Table1437[[#This Row],[Commercial Bid Price per case for NOI ($)]]-Table1437[[#This Row],[Pass-Thru Value per case ($)]])+Table1437[[#This Row],[Region 1: Fixed Fee Per Case ($)]]</f>
        <v>0</v>
      </c>
      <c r="T64" s="77" t="e">
        <f>(Table1437[[#This Row],[Commercial Bid Price per case for NOI ($)]]+Table1437[[#This Row],[Region 1: Fixed Fee Per Case ($)]])/Table1437[[#This Row],['# of CN Servings per case]]</f>
        <v>#DIV/0!</v>
      </c>
      <c r="U64" s="77" t="e">
        <f>Table1437[[#This Row],[Total Cost Per Serving (O+P)/J]]*Table1437[[#This Row],[Estimated Servings Annual]]</f>
        <v>#DIV/0!</v>
      </c>
      <c r="V64" s="81">
        <f>(Table1437[[#This Row],[Commercial Bid Price per case for NOI ($)]]-Table1437[[#This Row],[Pass-Thru Value per case ($)]])+Table1437[[#This Row],[Region 2: Fixed Fee Per Case ($)]]</f>
        <v>0</v>
      </c>
      <c r="W64" s="77" t="e">
        <f>(Table1437[[#This Row],[Commercial Bid Price per case for NOI ($)]]+Table1437[[#This Row],[Region 2: Fixed Fee Per Case ($)]])/Table1437[[#This Row],['# of CN Servings per case]]</f>
        <v>#DIV/0!</v>
      </c>
      <c r="X64" s="82" t="e">
        <f>Table1437[[#This Row],[Total Cost Per Serving (O+Q)/J]]*Table1437[[#This Row],[Estimated Servings Annual]]</f>
        <v>#DIV/0!</v>
      </c>
    </row>
    <row r="65" spans="1:24" x14ac:dyDescent="0.35">
      <c r="A65" s="30" t="s">
        <v>37</v>
      </c>
      <c r="B65" s="28" t="s">
        <v>125</v>
      </c>
      <c r="C65" s="7" t="s">
        <v>13</v>
      </c>
      <c r="D65" s="7"/>
      <c r="E65" s="7"/>
      <c r="F65" s="7"/>
      <c r="G65" s="7"/>
      <c r="H65" s="7"/>
      <c r="I65" s="7"/>
      <c r="J65" s="7"/>
      <c r="K65" s="49">
        <v>350000</v>
      </c>
      <c r="L65" s="7"/>
      <c r="M65" s="7"/>
      <c r="N65" s="7"/>
      <c r="O65" s="7"/>
      <c r="P65" s="7"/>
      <c r="Q65" s="7"/>
      <c r="R65" s="7"/>
      <c r="S65" s="81">
        <f>(Table1437[[#This Row],[Commercial Bid Price per case for NOI ($)]]-Table1437[[#This Row],[Pass-Thru Value per case ($)]])+Table1437[[#This Row],[Region 1: Fixed Fee Per Case ($)]]</f>
        <v>0</v>
      </c>
      <c r="T65" s="77" t="e">
        <f>(Table1437[[#This Row],[Commercial Bid Price per case for NOI ($)]]+Table1437[[#This Row],[Region 1: Fixed Fee Per Case ($)]])/Table1437[[#This Row],['# of CN Servings per case]]</f>
        <v>#DIV/0!</v>
      </c>
      <c r="U65" s="77" t="e">
        <f>Table1437[[#This Row],[Total Cost Per Serving (O+P)/J]]*Table1437[[#This Row],[Estimated Servings Annual]]</f>
        <v>#DIV/0!</v>
      </c>
      <c r="V65" s="81">
        <f>(Table1437[[#This Row],[Commercial Bid Price per case for NOI ($)]]-Table1437[[#This Row],[Pass-Thru Value per case ($)]])+Table1437[[#This Row],[Region 2: Fixed Fee Per Case ($)]]</f>
        <v>0</v>
      </c>
      <c r="W65" s="77" t="e">
        <f>(Table1437[[#This Row],[Commercial Bid Price per case for NOI ($)]]+Table1437[[#This Row],[Region 2: Fixed Fee Per Case ($)]])/Table1437[[#This Row],['# of CN Servings per case]]</f>
        <v>#DIV/0!</v>
      </c>
      <c r="X65" s="82" t="e">
        <f>Table1437[[#This Row],[Total Cost Per Serving (O+Q)/J]]*Table1437[[#This Row],[Estimated Servings Annual]]</f>
        <v>#DIV/0!</v>
      </c>
    </row>
    <row r="66" spans="1:24" ht="15" thickBot="1" x14ac:dyDescent="0.4">
      <c r="A66" s="30" t="s">
        <v>37</v>
      </c>
      <c r="B66" s="28" t="s">
        <v>125</v>
      </c>
      <c r="C66" s="8" t="s">
        <v>13</v>
      </c>
      <c r="D66" s="8"/>
      <c r="E66" s="8"/>
      <c r="F66" s="8"/>
      <c r="G66" s="8"/>
      <c r="H66" s="8"/>
      <c r="I66" s="8"/>
      <c r="J66" s="8"/>
      <c r="K66" s="49">
        <v>350000</v>
      </c>
      <c r="L66" s="8"/>
      <c r="M66" s="8"/>
      <c r="N66" s="8"/>
      <c r="O66" s="8"/>
      <c r="P66" s="8"/>
      <c r="Q66" s="8"/>
      <c r="R66" s="8"/>
      <c r="S66" s="83">
        <f>(Table1437[[#This Row],[Commercial Bid Price per case for NOI ($)]]-Table1437[[#This Row],[Pass-Thru Value per case ($)]])+Table1437[[#This Row],[Region 1: Fixed Fee Per Case ($)]]</f>
        <v>0</v>
      </c>
      <c r="T66" s="78" t="e">
        <f>(Table1437[[#This Row],[Commercial Bid Price per case for NOI ($)]]+Table1437[[#This Row],[Region 1: Fixed Fee Per Case ($)]])/Table1437[[#This Row],['# of CN Servings per case]]</f>
        <v>#DIV/0!</v>
      </c>
      <c r="U66" s="78" t="e">
        <f>Table1437[[#This Row],[Total Cost Per Serving (O+P)/J]]*Table1437[[#This Row],[Estimated Servings Annual]]</f>
        <v>#DIV/0!</v>
      </c>
      <c r="V66" s="83">
        <f>(Table1437[[#This Row],[Commercial Bid Price per case for NOI ($)]]-Table1437[[#This Row],[Pass-Thru Value per case ($)]])+Table1437[[#This Row],[Region 2: Fixed Fee Per Case ($)]]</f>
        <v>0</v>
      </c>
      <c r="W66" s="78" t="e">
        <f>(Table1437[[#This Row],[Commercial Bid Price per case for NOI ($)]]+Table1437[[#This Row],[Region 2: Fixed Fee Per Case ($)]])/Table1437[[#This Row],['# of CN Servings per case]]</f>
        <v>#DIV/0!</v>
      </c>
      <c r="X66" s="84" t="e">
        <f>Table1437[[#This Row],[Total Cost Per Serving (O+Q)/J]]*Table1437[[#This Row],[Estimated Servings Annual]]</f>
        <v>#DIV/0!</v>
      </c>
    </row>
    <row r="67" spans="1:24" x14ac:dyDescent="0.35">
      <c r="A67" s="30" t="s">
        <v>37</v>
      </c>
      <c r="B67" s="42" t="s">
        <v>126</v>
      </c>
      <c r="C67" s="6" t="s">
        <v>132</v>
      </c>
      <c r="D67" s="6"/>
      <c r="E67" s="6"/>
      <c r="F67" s="6"/>
      <c r="G67" s="6"/>
      <c r="H67" s="6"/>
      <c r="I67" s="6"/>
      <c r="J67" s="6"/>
      <c r="K67" s="48">
        <v>100000</v>
      </c>
      <c r="L67" s="6"/>
      <c r="M67" s="6"/>
      <c r="N67" s="6"/>
      <c r="O67" s="6"/>
      <c r="P67" s="6"/>
      <c r="Q67" s="6"/>
      <c r="R67" s="6"/>
      <c r="S67" s="79">
        <f>(Table1437[[#This Row],[Commercial Bid Price per case for NOI ($)]]-Table1437[[#This Row],[Pass-Thru Value per case ($)]])+Table1437[[#This Row],[Region 1: Fixed Fee Per Case ($)]]</f>
        <v>0</v>
      </c>
      <c r="T67" s="76" t="e">
        <f>(Table1437[[#This Row],[Commercial Bid Price per case for NOI ($)]]+Table1437[[#This Row],[Region 1: Fixed Fee Per Case ($)]])/Table1437[[#This Row],['# of CN Servings per case]]</f>
        <v>#DIV/0!</v>
      </c>
      <c r="U67" s="76" t="e">
        <f>Table1437[[#This Row],[Total Cost Per Serving (O+P)/J]]*Table1437[[#This Row],[Estimated Servings Annual]]</f>
        <v>#DIV/0!</v>
      </c>
      <c r="V67" s="79">
        <f>(Table1437[[#This Row],[Commercial Bid Price per case for NOI ($)]]-Table1437[[#This Row],[Pass-Thru Value per case ($)]])+Table1437[[#This Row],[Region 2: Fixed Fee Per Case ($)]]</f>
        <v>0</v>
      </c>
      <c r="W67" s="76" t="e">
        <f>(Table1437[[#This Row],[Commercial Bid Price per case for NOI ($)]]+Table1437[[#This Row],[Region 2: Fixed Fee Per Case ($)]])/Table1437[[#This Row],['# of CN Servings per case]]</f>
        <v>#DIV/0!</v>
      </c>
      <c r="X67" s="80" t="e">
        <f>Table1437[[#This Row],[Total Cost Per Serving (O+Q)/J]]*Table1437[[#This Row],[Estimated Servings Annual]]</f>
        <v>#DIV/0!</v>
      </c>
    </row>
    <row r="68" spans="1:24" x14ac:dyDescent="0.35">
      <c r="A68" s="30" t="s">
        <v>37</v>
      </c>
      <c r="B68" s="28" t="s">
        <v>126</v>
      </c>
      <c r="C68" s="7" t="s">
        <v>132</v>
      </c>
      <c r="D68" s="7"/>
      <c r="E68" s="7"/>
      <c r="F68" s="7"/>
      <c r="G68" s="7"/>
      <c r="H68" s="7"/>
      <c r="I68" s="7"/>
      <c r="J68" s="7"/>
      <c r="K68" s="49">
        <v>100000</v>
      </c>
      <c r="L68" s="7"/>
      <c r="M68" s="7"/>
      <c r="N68" s="7"/>
      <c r="O68" s="7"/>
      <c r="P68" s="7"/>
      <c r="Q68" s="7"/>
      <c r="R68" s="7"/>
      <c r="S68" s="81">
        <f>(Table1437[[#This Row],[Commercial Bid Price per case for NOI ($)]]-Table1437[[#This Row],[Pass-Thru Value per case ($)]])+Table1437[[#This Row],[Region 1: Fixed Fee Per Case ($)]]</f>
        <v>0</v>
      </c>
      <c r="T68" s="77" t="e">
        <f>(Table1437[[#This Row],[Commercial Bid Price per case for NOI ($)]]+Table1437[[#This Row],[Region 1: Fixed Fee Per Case ($)]])/Table1437[[#This Row],['# of CN Servings per case]]</f>
        <v>#DIV/0!</v>
      </c>
      <c r="U68" s="77" t="e">
        <f>Table1437[[#This Row],[Total Cost Per Serving (O+P)/J]]*Table1437[[#This Row],[Estimated Servings Annual]]</f>
        <v>#DIV/0!</v>
      </c>
      <c r="V68" s="81">
        <f>(Table1437[[#This Row],[Commercial Bid Price per case for NOI ($)]]-Table1437[[#This Row],[Pass-Thru Value per case ($)]])+Table1437[[#This Row],[Region 2: Fixed Fee Per Case ($)]]</f>
        <v>0</v>
      </c>
      <c r="W68" s="77" t="e">
        <f>(Table1437[[#This Row],[Commercial Bid Price per case for NOI ($)]]+Table1437[[#This Row],[Region 2: Fixed Fee Per Case ($)]])/Table1437[[#This Row],['# of CN Servings per case]]</f>
        <v>#DIV/0!</v>
      </c>
      <c r="X68" s="82" t="e">
        <f>Table1437[[#This Row],[Total Cost Per Serving (O+Q)/J]]*Table1437[[#This Row],[Estimated Servings Annual]]</f>
        <v>#DIV/0!</v>
      </c>
    </row>
    <row r="69" spans="1:24" x14ac:dyDescent="0.35">
      <c r="A69" s="30" t="s">
        <v>37</v>
      </c>
      <c r="B69" s="28" t="s">
        <v>126</v>
      </c>
      <c r="C69" s="7" t="s">
        <v>52</v>
      </c>
      <c r="D69" s="7"/>
      <c r="E69" s="7"/>
      <c r="F69" s="7"/>
      <c r="G69" s="7"/>
      <c r="H69" s="7"/>
      <c r="I69" s="7"/>
      <c r="J69" s="7"/>
      <c r="K69" s="49">
        <v>100000</v>
      </c>
      <c r="L69" s="7"/>
      <c r="M69" s="7"/>
      <c r="N69" s="7"/>
      <c r="O69" s="7"/>
      <c r="P69" s="7"/>
      <c r="Q69" s="7"/>
      <c r="R69" s="7"/>
      <c r="S69" s="81">
        <f>(Table1437[[#This Row],[Commercial Bid Price per case for NOI ($)]]-Table1437[[#This Row],[Pass-Thru Value per case ($)]])+Table1437[[#This Row],[Region 1: Fixed Fee Per Case ($)]]</f>
        <v>0</v>
      </c>
      <c r="T69" s="77" t="e">
        <f>(Table1437[[#This Row],[Commercial Bid Price per case for NOI ($)]]+Table1437[[#This Row],[Region 1: Fixed Fee Per Case ($)]])/Table1437[[#This Row],['# of CN Servings per case]]</f>
        <v>#DIV/0!</v>
      </c>
      <c r="U69" s="77" t="e">
        <f>Table1437[[#This Row],[Total Cost Per Serving (O+P)/J]]*Table1437[[#This Row],[Estimated Servings Annual]]</f>
        <v>#DIV/0!</v>
      </c>
      <c r="V69" s="81">
        <f>(Table1437[[#This Row],[Commercial Bid Price per case for NOI ($)]]-Table1437[[#This Row],[Pass-Thru Value per case ($)]])+Table1437[[#This Row],[Region 2: Fixed Fee Per Case ($)]]</f>
        <v>0</v>
      </c>
      <c r="W69" s="77" t="e">
        <f>(Table1437[[#This Row],[Commercial Bid Price per case for NOI ($)]]+Table1437[[#This Row],[Region 2: Fixed Fee Per Case ($)]])/Table1437[[#This Row],['# of CN Servings per case]]</f>
        <v>#DIV/0!</v>
      </c>
      <c r="X69" s="82" t="e">
        <f>Table1437[[#This Row],[Total Cost Per Serving (O+Q)/J]]*Table1437[[#This Row],[Estimated Servings Annual]]</f>
        <v>#DIV/0!</v>
      </c>
    </row>
    <row r="70" spans="1:24" x14ac:dyDescent="0.35">
      <c r="A70" s="30" t="s">
        <v>37</v>
      </c>
      <c r="B70" s="28" t="s">
        <v>126</v>
      </c>
      <c r="C70" s="7" t="s">
        <v>52</v>
      </c>
      <c r="D70" s="7"/>
      <c r="E70" s="7"/>
      <c r="F70" s="7"/>
      <c r="G70" s="7"/>
      <c r="H70" s="7"/>
      <c r="I70" s="7"/>
      <c r="J70" s="7"/>
      <c r="K70" s="49">
        <v>100000</v>
      </c>
      <c r="L70" s="7"/>
      <c r="M70" s="7"/>
      <c r="N70" s="7"/>
      <c r="O70" s="7"/>
      <c r="P70" s="7"/>
      <c r="Q70" s="7"/>
      <c r="R70" s="7"/>
      <c r="S70" s="81">
        <f>(Table1437[[#This Row],[Commercial Bid Price per case for NOI ($)]]-Table1437[[#This Row],[Pass-Thru Value per case ($)]])+Table1437[[#This Row],[Region 1: Fixed Fee Per Case ($)]]</f>
        <v>0</v>
      </c>
      <c r="T70" s="77" t="e">
        <f>(Table1437[[#This Row],[Commercial Bid Price per case for NOI ($)]]+Table1437[[#This Row],[Region 1: Fixed Fee Per Case ($)]])/Table1437[[#This Row],['# of CN Servings per case]]</f>
        <v>#DIV/0!</v>
      </c>
      <c r="U70" s="77" t="e">
        <f>Table1437[[#This Row],[Total Cost Per Serving (O+P)/J]]*Table1437[[#This Row],[Estimated Servings Annual]]</f>
        <v>#DIV/0!</v>
      </c>
      <c r="V70" s="81">
        <f>(Table1437[[#This Row],[Commercial Bid Price per case for NOI ($)]]-Table1437[[#This Row],[Pass-Thru Value per case ($)]])+Table1437[[#This Row],[Region 2: Fixed Fee Per Case ($)]]</f>
        <v>0</v>
      </c>
      <c r="W70" s="77" t="e">
        <f>(Table1437[[#This Row],[Commercial Bid Price per case for NOI ($)]]+Table1437[[#This Row],[Region 2: Fixed Fee Per Case ($)]])/Table1437[[#This Row],['# of CN Servings per case]]</f>
        <v>#DIV/0!</v>
      </c>
      <c r="X70" s="82" t="e">
        <f>Table1437[[#This Row],[Total Cost Per Serving (O+Q)/J]]*Table1437[[#This Row],[Estimated Servings Annual]]</f>
        <v>#DIV/0!</v>
      </c>
    </row>
    <row r="71" spans="1:24" x14ac:dyDescent="0.35">
      <c r="A71" s="30" t="s">
        <v>37</v>
      </c>
      <c r="B71" s="28" t="s">
        <v>126</v>
      </c>
      <c r="C71" s="7" t="s">
        <v>13</v>
      </c>
      <c r="D71" s="7"/>
      <c r="E71" s="7"/>
      <c r="F71" s="7"/>
      <c r="G71" s="7"/>
      <c r="H71" s="7"/>
      <c r="I71" s="7"/>
      <c r="J71" s="7"/>
      <c r="K71" s="49">
        <v>100000</v>
      </c>
      <c r="L71" s="7"/>
      <c r="M71" s="7"/>
      <c r="N71" s="7"/>
      <c r="O71" s="7"/>
      <c r="P71" s="7"/>
      <c r="Q71" s="7"/>
      <c r="R71" s="7"/>
      <c r="S71" s="81">
        <f>(Table1437[[#This Row],[Commercial Bid Price per case for NOI ($)]]-Table1437[[#This Row],[Pass-Thru Value per case ($)]])+Table1437[[#This Row],[Region 1: Fixed Fee Per Case ($)]]</f>
        <v>0</v>
      </c>
      <c r="T71" s="77" t="e">
        <f>(Table1437[[#This Row],[Commercial Bid Price per case for NOI ($)]]+Table1437[[#This Row],[Region 1: Fixed Fee Per Case ($)]])/Table1437[[#This Row],['# of CN Servings per case]]</f>
        <v>#DIV/0!</v>
      </c>
      <c r="U71" s="77" t="e">
        <f>Table1437[[#This Row],[Total Cost Per Serving (O+P)/J]]*Table1437[[#This Row],[Estimated Servings Annual]]</f>
        <v>#DIV/0!</v>
      </c>
      <c r="V71" s="81">
        <f>(Table1437[[#This Row],[Commercial Bid Price per case for NOI ($)]]-Table1437[[#This Row],[Pass-Thru Value per case ($)]])+Table1437[[#This Row],[Region 2: Fixed Fee Per Case ($)]]</f>
        <v>0</v>
      </c>
      <c r="W71" s="77" t="e">
        <f>(Table1437[[#This Row],[Commercial Bid Price per case for NOI ($)]]+Table1437[[#This Row],[Region 2: Fixed Fee Per Case ($)]])/Table1437[[#This Row],['# of CN Servings per case]]</f>
        <v>#DIV/0!</v>
      </c>
      <c r="X71" s="82" t="e">
        <f>Table1437[[#This Row],[Total Cost Per Serving (O+Q)/J]]*Table1437[[#This Row],[Estimated Servings Annual]]</f>
        <v>#DIV/0!</v>
      </c>
    </row>
    <row r="72" spans="1:24" x14ac:dyDescent="0.35">
      <c r="A72" s="30" t="s">
        <v>37</v>
      </c>
      <c r="B72" s="28" t="s">
        <v>126</v>
      </c>
      <c r="C72" s="7" t="s">
        <v>13</v>
      </c>
      <c r="D72" s="7"/>
      <c r="E72" s="7"/>
      <c r="F72" s="7"/>
      <c r="G72" s="7"/>
      <c r="H72" s="7"/>
      <c r="I72" s="7"/>
      <c r="J72" s="7"/>
      <c r="K72" s="49">
        <v>100000</v>
      </c>
      <c r="L72" s="7"/>
      <c r="M72" s="7"/>
      <c r="N72" s="7"/>
      <c r="O72" s="7"/>
      <c r="P72" s="7"/>
      <c r="Q72" s="7"/>
      <c r="R72" s="7"/>
      <c r="S72" s="81">
        <f>(Table1437[[#This Row],[Commercial Bid Price per case for NOI ($)]]-Table1437[[#This Row],[Pass-Thru Value per case ($)]])+Table1437[[#This Row],[Region 1: Fixed Fee Per Case ($)]]</f>
        <v>0</v>
      </c>
      <c r="T72" s="77" t="e">
        <f>(Table1437[[#This Row],[Commercial Bid Price per case for NOI ($)]]+Table1437[[#This Row],[Region 1: Fixed Fee Per Case ($)]])/Table1437[[#This Row],['# of CN Servings per case]]</f>
        <v>#DIV/0!</v>
      </c>
      <c r="U72" s="77" t="e">
        <f>Table1437[[#This Row],[Total Cost Per Serving (O+P)/J]]*Table1437[[#This Row],[Estimated Servings Annual]]</f>
        <v>#DIV/0!</v>
      </c>
      <c r="V72" s="81">
        <f>(Table1437[[#This Row],[Commercial Bid Price per case for NOI ($)]]-Table1437[[#This Row],[Pass-Thru Value per case ($)]])+Table1437[[#This Row],[Region 2: Fixed Fee Per Case ($)]]</f>
        <v>0</v>
      </c>
      <c r="W72" s="77" t="e">
        <f>(Table1437[[#This Row],[Commercial Bid Price per case for NOI ($)]]+Table1437[[#This Row],[Region 2: Fixed Fee Per Case ($)]])/Table1437[[#This Row],['# of CN Servings per case]]</f>
        <v>#DIV/0!</v>
      </c>
      <c r="X72" s="82" t="e">
        <f>Table1437[[#This Row],[Total Cost Per Serving (O+Q)/J]]*Table1437[[#This Row],[Estimated Servings Annual]]</f>
        <v>#DIV/0!</v>
      </c>
    </row>
    <row r="73" spans="1:24" x14ac:dyDescent="0.35">
      <c r="A73" s="30" t="s">
        <v>37</v>
      </c>
      <c r="B73" s="28" t="s">
        <v>126</v>
      </c>
      <c r="C73" s="7" t="s">
        <v>13</v>
      </c>
      <c r="D73" s="7"/>
      <c r="E73" s="7"/>
      <c r="F73" s="7"/>
      <c r="G73" s="7"/>
      <c r="H73" s="7"/>
      <c r="I73" s="7"/>
      <c r="J73" s="7"/>
      <c r="K73" s="49">
        <v>100000</v>
      </c>
      <c r="L73" s="7"/>
      <c r="M73" s="7"/>
      <c r="N73" s="7"/>
      <c r="O73" s="7"/>
      <c r="P73" s="7"/>
      <c r="Q73" s="7"/>
      <c r="R73" s="7"/>
      <c r="S73" s="81">
        <f>(Table1437[[#This Row],[Commercial Bid Price per case for NOI ($)]]-Table1437[[#This Row],[Pass-Thru Value per case ($)]])+Table1437[[#This Row],[Region 1: Fixed Fee Per Case ($)]]</f>
        <v>0</v>
      </c>
      <c r="T73" s="77" t="e">
        <f>(Table1437[[#This Row],[Commercial Bid Price per case for NOI ($)]]+Table1437[[#This Row],[Region 1: Fixed Fee Per Case ($)]])/Table1437[[#This Row],['# of CN Servings per case]]</f>
        <v>#DIV/0!</v>
      </c>
      <c r="U73" s="77" t="e">
        <f>Table1437[[#This Row],[Total Cost Per Serving (O+P)/J]]*Table1437[[#This Row],[Estimated Servings Annual]]</f>
        <v>#DIV/0!</v>
      </c>
      <c r="V73" s="81">
        <f>(Table1437[[#This Row],[Commercial Bid Price per case for NOI ($)]]-Table1437[[#This Row],[Pass-Thru Value per case ($)]])+Table1437[[#This Row],[Region 2: Fixed Fee Per Case ($)]]</f>
        <v>0</v>
      </c>
      <c r="W73" s="77" t="e">
        <f>(Table1437[[#This Row],[Commercial Bid Price per case for NOI ($)]]+Table1437[[#This Row],[Region 2: Fixed Fee Per Case ($)]])/Table1437[[#This Row],['# of CN Servings per case]]</f>
        <v>#DIV/0!</v>
      </c>
      <c r="X73" s="82" t="e">
        <f>Table1437[[#This Row],[Total Cost Per Serving (O+Q)/J]]*Table1437[[#This Row],[Estimated Servings Annual]]</f>
        <v>#DIV/0!</v>
      </c>
    </row>
    <row r="74" spans="1:24" ht="15" thickBot="1" x14ac:dyDescent="0.4">
      <c r="A74" s="30" t="s">
        <v>37</v>
      </c>
      <c r="B74" s="28" t="s">
        <v>126</v>
      </c>
      <c r="C74" s="8" t="s">
        <v>13</v>
      </c>
      <c r="D74" s="8"/>
      <c r="E74" s="8"/>
      <c r="F74" s="8"/>
      <c r="G74" s="8"/>
      <c r="H74" s="8"/>
      <c r="I74" s="8"/>
      <c r="J74" s="8"/>
      <c r="K74" s="50">
        <v>100000</v>
      </c>
      <c r="L74" s="8"/>
      <c r="M74" s="8"/>
      <c r="N74" s="8"/>
      <c r="O74" s="8"/>
      <c r="P74" s="8"/>
      <c r="Q74" s="8"/>
      <c r="R74" s="8"/>
      <c r="S74" s="83">
        <f>(Table1437[[#This Row],[Commercial Bid Price per case for NOI ($)]]-Table1437[[#This Row],[Pass-Thru Value per case ($)]])+Table1437[[#This Row],[Region 1: Fixed Fee Per Case ($)]]</f>
        <v>0</v>
      </c>
      <c r="T74" s="78" t="e">
        <f>(Table1437[[#This Row],[Commercial Bid Price per case for NOI ($)]]+Table1437[[#This Row],[Region 1: Fixed Fee Per Case ($)]])/Table1437[[#This Row],['# of CN Servings per case]]</f>
        <v>#DIV/0!</v>
      </c>
      <c r="U74" s="78" t="e">
        <f>Table1437[[#This Row],[Total Cost Per Serving (O+P)/J]]*Table1437[[#This Row],[Estimated Servings Annual]]</f>
        <v>#DIV/0!</v>
      </c>
      <c r="V74" s="83">
        <f>(Table1437[[#This Row],[Commercial Bid Price per case for NOI ($)]]-Table1437[[#This Row],[Pass-Thru Value per case ($)]])+Table1437[[#This Row],[Region 2: Fixed Fee Per Case ($)]]</f>
        <v>0</v>
      </c>
      <c r="W74" s="78" t="e">
        <f>(Table1437[[#This Row],[Commercial Bid Price per case for NOI ($)]]+Table1437[[#This Row],[Region 2: Fixed Fee Per Case ($)]])/Table1437[[#This Row],['# of CN Servings per case]]</f>
        <v>#DIV/0!</v>
      </c>
      <c r="X74" s="84" t="e">
        <f>Table1437[[#This Row],[Total Cost Per Serving (O+Q)/J]]*Table1437[[#This Row],[Estimated Servings Annual]]</f>
        <v>#DIV/0!</v>
      </c>
    </row>
    <row r="75" spans="1:24" x14ac:dyDescent="0.35">
      <c r="A75" s="30" t="s">
        <v>37</v>
      </c>
      <c r="B75" s="42" t="s">
        <v>53</v>
      </c>
      <c r="C75" s="6" t="s">
        <v>51</v>
      </c>
      <c r="D75" s="6"/>
      <c r="E75" s="6"/>
      <c r="F75" s="6"/>
      <c r="G75" s="6"/>
      <c r="H75" s="6"/>
      <c r="I75" s="6"/>
      <c r="J75" s="6"/>
      <c r="K75" s="48">
        <v>150000</v>
      </c>
      <c r="L75" s="6"/>
      <c r="M75" s="6"/>
      <c r="N75" s="6"/>
      <c r="O75" s="6"/>
      <c r="P75" s="6"/>
      <c r="Q75" s="6"/>
      <c r="R75" s="6"/>
      <c r="S75" s="79">
        <f>(Table1437[[#This Row],[Commercial Bid Price per case for NOI ($)]]-Table1437[[#This Row],[Pass-Thru Value per case ($)]])+Table1437[[#This Row],[Region 1: Fixed Fee Per Case ($)]]</f>
        <v>0</v>
      </c>
      <c r="T75" s="76" t="e">
        <f>(Table1437[[#This Row],[Commercial Bid Price per case for NOI ($)]]+Table1437[[#This Row],[Region 1: Fixed Fee Per Case ($)]])/Table1437[[#This Row],['# of CN Servings per case]]</f>
        <v>#DIV/0!</v>
      </c>
      <c r="U75" s="76" t="e">
        <f>Table1437[[#This Row],[Total Cost Per Serving (O+P)/J]]*Table1437[[#This Row],[Estimated Servings Annual]]</f>
        <v>#DIV/0!</v>
      </c>
      <c r="V75" s="79">
        <f>(Table1437[[#This Row],[Commercial Bid Price per case for NOI ($)]]-Table1437[[#This Row],[Pass-Thru Value per case ($)]])+Table1437[[#This Row],[Region 2: Fixed Fee Per Case ($)]]</f>
        <v>0</v>
      </c>
      <c r="W75" s="76" t="e">
        <f>(Table1437[[#This Row],[Commercial Bid Price per case for NOI ($)]]+Table1437[[#This Row],[Region 2: Fixed Fee Per Case ($)]])/Table1437[[#This Row],['# of CN Servings per case]]</f>
        <v>#DIV/0!</v>
      </c>
      <c r="X75" s="80" t="e">
        <f>Table1437[[#This Row],[Total Cost Per Serving (O+Q)/J]]*Table1437[[#This Row],[Estimated Servings Annual]]</f>
        <v>#DIV/0!</v>
      </c>
    </row>
    <row r="76" spans="1:24" x14ac:dyDescent="0.35">
      <c r="A76" s="30" t="s">
        <v>37</v>
      </c>
      <c r="B76" s="28" t="s">
        <v>53</v>
      </c>
      <c r="C76" s="7" t="s">
        <v>51</v>
      </c>
      <c r="D76" s="7"/>
      <c r="E76" s="7"/>
      <c r="F76" s="7"/>
      <c r="G76" s="7"/>
      <c r="H76" s="7"/>
      <c r="I76" s="7"/>
      <c r="J76" s="7"/>
      <c r="K76" s="49">
        <v>150000</v>
      </c>
      <c r="L76" s="7"/>
      <c r="M76" s="7"/>
      <c r="N76" s="7"/>
      <c r="O76" s="7"/>
      <c r="P76" s="7"/>
      <c r="Q76" s="7"/>
      <c r="R76" s="7"/>
      <c r="S76" s="81">
        <f>(Table1437[[#This Row],[Commercial Bid Price per case for NOI ($)]]-Table1437[[#This Row],[Pass-Thru Value per case ($)]])+Table1437[[#This Row],[Region 1: Fixed Fee Per Case ($)]]</f>
        <v>0</v>
      </c>
      <c r="T76" s="77" t="e">
        <f>(Table1437[[#This Row],[Commercial Bid Price per case for NOI ($)]]+Table1437[[#This Row],[Region 1: Fixed Fee Per Case ($)]])/Table1437[[#This Row],['# of CN Servings per case]]</f>
        <v>#DIV/0!</v>
      </c>
      <c r="U76" s="77" t="e">
        <f>Table1437[[#This Row],[Total Cost Per Serving (O+P)/J]]*Table1437[[#This Row],[Estimated Servings Annual]]</f>
        <v>#DIV/0!</v>
      </c>
      <c r="V76" s="81">
        <f>(Table1437[[#This Row],[Commercial Bid Price per case for NOI ($)]]-Table1437[[#This Row],[Pass-Thru Value per case ($)]])+Table1437[[#This Row],[Region 2: Fixed Fee Per Case ($)]]</f>
        <v>0</v>
      </c>
      <c r="W76" s="77" t="e">
        <f>(Table1437[[#This Row],[Commercial Bid Price per case for NOI ($)]]+Table1437[[#This Row],[Region 2: Fixed Fee Per Case ($)]])/Table1437[[#This Row],['# of CN Servings per case]]</f>
        <v>#DIV/0!</v>
      </c>
      <c r="X76" s="82" t="e">
        <f>Table1437[[#This Row],[Total Cost Per Serving (O+Q)/J]]*Table1437[[#This Row],[Estimated Servings Annual]]</f>
        <v>#DIV/0!</v>
      </c>
    </row>
    <row r="77" spans="1:24" x14ac:dyDescent="0.35">
      <c r="A77" s="30" t="s">
        <v>37</v>
      </c>
      <c r="B77" s="28" t="s">
        <v>53</v>
      </c>
      <c r="C77" s="7" t="s">
        <v>132</v>
      </c>
      <c r="D77" s="7"/>
      <c r="E77" s="7"/>
      <c r="F77" s="7"/>
      <c r="G77" s="7"/>
      <c r="H77" s="7"/>
      <c r="I77" s="7"/>
      <c r="J77" s="7"/>
      <c r="K77" s="49">
        <v>150000</v>
      </c>
      <c r="L77" s="7"/>
      <c r="M77" s="7"/>
      <c r="N77" s="7"/>
      <c r="O77" s="7"/>
      <c r="P77" s="7"/>
      <c r="Q77" s="7"/>
      <c r="R77" s="7"/>
      <c r="S77" s="81">
        <f>(Table1437[[#This Row],[Commercial Bid Price per case for NOI ($)]]-Table1437[[#This Row],[Pass-Thru Value per case ($)]])+Table1437[[#This Row],[Region 1: Fixed Fee Per Case ($)]]</f>
        <v>0</v>
      </c>
      <c r="T77" s="77" t="e">
        <f>(Table1437[[#This Row],[Commercial Bid Price per case for NOI ($)]]+Table1437[[#This Row],[Region 1: Fixed Fee Per Case ($)]])/Table1437[[#This Row],['# of CN Servings per case]]</f>
        <v>#DIV/0!</v>
      </c>
      <c r="U77" s="77" t="e">
        <f>Table1437[[#This Row],[Total Cost Per Serving (O+P)/J]]*Table1437[[#This Row],[Estimated Servings Annual]]</f>
        <v>#DIV/0!</v>
      </c>
      <c r="V77" s="81">
        <f>(Table1437[[#This Row],[Commercial Bid Price per case for NOI ($)]]-Table1437[[#This Row],[Pass-Thru Value per case ($)]])+Table1437[[#This Row],[Region 2: Fixed Fee Per Case ($)]]</f>
        <v>0</v>
      </c>
      <c r="W77" s="77" t="e">
        <f>(Table1437[[#This Row],[Commercial Bid Price per case for NOI ($)]]+Table1437[[#This Row],[Region 2: Fixed Fee Per Case ($)]])/Table1437[[#This Row],['# of CN Servings per case]]</f>
        <v>#DIV/0!</v>
      </c>
      <c r="X77" s="82" t="e">
        <f>Table1437[[#This Row],[Total Cost Per Serving (O+Q)/J]]*Table1437[[#This Row],[Estimated Servings Annual]]</f>
        <v>#DIV/0!</v>
      </c>
    </row>
    <row r="78" spans="1:24" x14ac:dyDescent="0.35">
      <c r="A78" s="30" t="s">
        <v>37</v>
      </c>
      <c r="B78" s="28" t="s">
        <v>53</v>
      </c>
      <c r="C78" s="7" t="s">
        <v>132</v>
      </c>
      <c r="D78" s="7"/>
      <c r="E78" s="7"/>
      <c r="F78" s="7"/>
      <c r="G78" s="7"/>
      <c r="H78" s="7"/>
      <c r="I78" s="7"/>
      <c r="J78" s="7"/>
      <c r="K78" s="49">
        <v>150000</v>
      </c>
      <c r="L78" s="7"/>
      <c r="M78" s="7"/>
      <c r="N78" s="7"/>
      <c r="O78" s="7"/>
      <c r="P78" s="7"/>
      <c r="Q78" s="7"/>
      <c r="R78" s="7"/>
      <c r="S78" s="81">
        <f>(Table1437[[#This Row],[Commercial Bid Price per case for NOI ($)]]-Table1437[[#This Row],[Pass-Thru Value per case ($)]])+Table1437[[#This Row],[Region 1: Fixed Fee Per Case ($)]]</f>
        <v>0</v>
      </c>
      <c r="T78" s="77" t="e">
        <f>(Table1437[[#This Row],[Commercial Bid Price per case for NOI ($)]]+Table1437[[#This Row],[Region 1: Fixed Fee Per Case ($)]])/Table1437[[#This Row],['# of CN Servings per case]]</f>
        <v>#DIV/0!</v>
      </c>
      <c r="U78" s="77" t="e">
        <f>Table1437[[#This Row],[Total Cost Per Serving (O+P)/J]]*Table1437[[#This Row],[Estimated Servings Annual]]</f>
        <v>#DIV/0!</v>
      </c>
      <c r="V78" s="81">
        <f>(Table1437[[#This Row],[Commercial Bid Price per case for NOI ($)]]-Table1437[[#This Row],[Pass-Thru Value per case ($)]])+Table1437[[#This Row],[Region 2: Fixed Fee Per Case ($)]]</f>
        <v>0</v>
      </c>
      <c r="W78" s="77" t="e">
        <f>(Table1437[[#This Row],[Commercial Bid Price per case for NOI ($)]]+Table1437[[#This Row],[Region 2: Fixed Fee Per Case ($)]])/Table1437[[#This Row],['# of CN Servings per case]]</f>
        <v>#DIV/0!</v>
      </c>
      <c r="X78" s="82" t="e">
        <f>Table1437[[#This Row],[Total Cost Per Serving (O+Q)/J]]*Table1437[[#This Row],[Estimated Servings Annual]]</f>
        <v>#DIV/0!</v>
      </c>
    </row>
    <row r="79" spans="1:24" x14ac:dyDescent="0.35">
      <c r="A79" s="30" t="s">
        <v>37</v>
      </c>
      <c r="B79" s="28" t="s">
        <v>53</v>
      </c>
      <c r="C79" s="7" t="s">
        <v>52</v>
      </c>
      <c r="D79" s="7"/>
      <c r="E79" s="7"/>
      <c r="F79" s="7"/>
      <c r="G79" s="7"/>
      <c r="H79" s="7"/>
      <c r="I79" s="7"/>
      <c r="J79" s="7"/>
      <c r="K79" s="49">
        <v>150000</v>
      </c>
      <c r="L79" s="7"/>
      <c r="M79" s="7"/>
      <c r="N79" s="7"/>
      <c r="O79" s="7"/>
      <c r="P79" s="7"/>
      <c r="Q79" s="7"/>
      <c r="R79" s="7"/>
      <c r="S79" s="81">
        <f>(Table1437[[#This Row],[Commercial Bid Price per case for NOI ($)]]-Table1437[[#This Row],[Pass-Thru Value per case ($)]])+Table1437[[#This Row],[Region 1: Fixed Fee Per Case ($)]]</f>
        <v>0</v>
      </c>
      <c r="T79" s="77" t="e">
        <f>(Table1437[[#This Row],[Commercial Bid Price per case for NOI ($)]]+Table1437[[#This Row],[Region 1: Fixed Fee Per Case ($)]])/Table1437[[#This Row],['# of CN Servings per case]]</f>
        <v>#DIV/0!</v>
      </c>
      <c r="U79" s="77" t="e">
        <f>Table1437[[#This Row],[Total Cost Per Serving (O+P)/J]]*Table1437[[#This Row],[Estimated Servings Annual]]</f>
        <v>#DIV/0!</v>
      </c>
      <c r="V79" s="81">
        <f>(Table1437[[#This Row],[Commercial Bid Price per case for NOI ($)]]-Table1437[[#This Row],[Pass-Thru Value per case ($)]])+Table1437[[#This Row],[Region 2: Fixed Fee Per Case ($)]]</f>
        <v>0</v>
      </c>
      <c r="W79" s="77" t="e">
        <f>(Table1437[[#This Row],[Commercial Bid Price per case for NOI ($)]]+Table1437[[#This Row],[Region 2: Fixed Fee Per Case ($)]])/Table1437[[#This Row],['# of CN Servings per case]]</f>
        <v>#DIV/0!</v>
      </c>
      <c r="X79" s="82" t="e">
        <f>Table1437[[#This Row],[Total Cost Per Serving (O+Q)/J]]*Table1437[[#This Row],[Estimated Servings Annual]]</f>
        <v>#DIV/0!</v>
      </c>
    </row>
    <row r="80" spans="1:24" x14ac:dyDescent="0.35">
      <c r="A80" s="30" t="s">
        <v>37</v>
      </c>
      <c r="B80" s="28" t="s">
        <v>53</v>
      </c>
      <c r="C80" s="7" t="s">
        <v>52</v>
      </c>
      <c r="D80" s="7"/>
      <c r="E80" s="7"/>
      <c r="F80" s="7"/>
      <c r="G80" s="7"/>
      <c r="H80" s="7"/>
      <c r="I80" s="7"/>
      <c r="J80" s="7"/>
      <c r="K80" s="49">
        <v>150000</v>
      </c>
      <c r="L80" s="7"/>
      <c r="M80" s="7"/>
      <c r="N80" s="7"/>
      <c r="O80" s="7"/>
      <c r="P80" s="7"/>
      <c r="Q80" s="7"/>
      <c r="R80" s="7"/>
      <c r="S80" s="81">
        <f>(Table1437[[#This Row],[Commercial Bid Price per case for NOI ($)]]-Table1437[[#This Row],[Pass-Thru Value per case ($)]])+Table1437[[#This Row],[Region 1: Fixed Fee Per Case ($)]]</f>
        <v>0</v>
      </c>
      <c r="T80" s="77" t="e">
        <f>(Table1437[[#This Row],[Commercial Bid Price per case for NOI ($)]]+Table1437[[#This Row],[Region 1: Fixed Fee Per Case ($)]])/Table1437[[#This Row],['# of CN Servings per case]]</f>
        <v>#DIV/0!</v>
      </c>
      <c r="U80" s="77" t="e">
        <f>Table1437[[#This Row],[Total Cost Per Serving (O+P)/J]]*Table1437[[#This Row],[Estimated Servings Annual]]</f>
        <v>#DIV/0!</v>
      </c>
      <c r="V80" s="81">
        <f>(Table1437[[#This Row],[Commercial Bid Price per case for NOI ($)]]-Table1437[[#This Row],[Pass-Thru Value per case ($)]])+Table1437[[#This Row],[Region 2: Fixed Fee Per Case ($)]]</f>
        <v>0</v>
      </c>
      <c r="W80" s="77" t="e">
        <f>(Table1437[[#This Row],[Commercial Bid Price per case for NOI ($)]]+Table1437[[#This Row],[Region 2: Fixed Fee Per Case ($)]])/Table1437[[#This Row],['# of CN Servings per case]]</f>
        <v>#DIV/0!</v>
      </c>
      <c r="X80" s="82" t="e">
        <f>Table1437[[#This Row],[Total Cost Per Serving (O+Q)/J]]*Table1437[[#This Row],[Estimated Servings Annual]]</f>
        <v>#DIV/0!</v>
      </c>
    </row>
    <row r="81" spans="1:24" x14ac:dyDescent="0.35">
      <c r="A81" s="30" t="s">
        <v>37</v>
      </c>
      <c r="B81" s="28" t="s">
        <v>53</v>
      </c>
      <c r="C81" s="7" t="s">
        <v>13</v>
      </c>
      <c r="D81" s="7"/>
      <c r="E81" s="7"/>
      <c r="F81" s="7"/>
      <c r="G81" s="7"/>
      <c r="H81" s="7"/>
      <c r="I81" s="7"/>
      <c r="J81" s="7"/>
      <c r="K81" s="49">
        <v>150000</v>
      </c>
      <c r="L81" s="7"/>
      <c r="M81" s="7"/>
      <c r="N81" s="7"/>
      <c r="O81" s="7"/>
      <c r="P81" s="7"/>
      <c r="Q81" s="7"/>
      <c r="R81" s="7"/>
      <c r="S81" s="81">
        <f>(Table1437[[#This Row],[Commercial Bid Price per case for NOI ($)]]-Table1437[[#This Row],[Pass-Thru Value per case ($)]])+Table1437[[#This Row],[Region 1: Fixed Fee Per Case ($)]]</f>
        <v>0</v>
      </c>
      <c r="T81" s="77" t="e">
        <f>(Table1437[[#This Row],[Commercial Bid Price per case for NOI ($)]]+Table1437[[#This Row],[Region 1: Fixed Fee Per Case ($)]])/Table1437[[#This Row],['# of CN Servings per case]]</f>
        <v>#DIV/0!</v>
      </c>
      <c r="U81" s="77" t="e">
        <f>Table1437[[#This Row],[Total Cost Per Serving (O+P)/J]]*Table1437[[#This Row],[Estimated Servings Annual]]</f>
        <v>#DIV/0!</v>
      </c>
      <c r="V81" s="81">
        <f>(Table1437[[#This Row],[Commercial Bid Price per case for NOI ($)]]-Table1437[[#This Row],[Pass-Thru Value per case ($)]])+Table1437[[#This Row],[Region 2: Fixed Fee Per Case ($)]]</f>
        <v>0</v>
      </c>
      <c r="W81" s="77" t="e">
        <f>(Table1437[[#This Row],[Commercial Bid Price per case for NOI ($)]]+Table1437[[#This Row],[Region 2: Fixed Fee Per Case ($)]])/Table1437[[#This Row],['# of CN Servings per case]]</f>
        <v>#DIV/0!</v>
      </c>
      <c r="X81" s="82" t="e">
        <f>Table1437[[#This Row],[Total Cost Per Serving (O+Q)/J]]*Table1437[[#This Row],[Estimated Servings Annual]]</f>
        <v>#DIV/0!</v>
      </c>
    </row>
    <row r="82" spans="1:24" ht="15" thickBot="1" x14ac:dyDescent="0.4">
      <c r="A82" s="30" t="s">
        <v>37</v>
      </c>
      <c r="B82" s="28" t="s">
        <v>53</v>
      </c>
      <c r="C82" s="27" t="s">
        <v>13</v>
      </c>
      <c r="D82" s="8"/>
      <c r="E82" s="8"/>
      <c r="F82" s="8"/>
      <c r="G82" s="8"/>
      <c r="H82" s="8"/>
      <c r="I82" s="8"/>
      <c r="J82" s="8"/>
      <c r="K82" s="50">
        <v>150000</v>
      </c>
      <c r="L82" s="8"/>
      <c r="M82" s="8"/>
      <c r="N82" s="8"/>
      <c r="O82" s="8"/>
      <c r="P82" s="8"/>
      <c r="Q82" s="8"/>
      <c r="R82" s="8"/>
      <c r="S82" s="83">
        <f>(Table1437[[#This Row],[Commercial Bid Price per case for NOI ($)]]-Table1437[[#This Row],[Pass-Thru Value per case ($)]])+Table1437[[#This Row],[Region 1: Fixed Fee Per Case ($)]]</f>
        <v>0</v>
      </c>
      <c r="T82" s="78" t="e">
        <f>(Table1437[[#This Row],[Commercial Bid Price per case for NOI ($)]]+Table1437[[#This Row],[Region 1: Fixed Fee Per Case ($)]])/Table1437[[#This Row],['# of CN Servings per case]]</f>
        <v>#DIV/0!</v>
      </c>
      <c r="U82" s="78" t="e">
        <f>Table1437[[#This Row],[Total Cost Per Serving (O+P)/J]]*Table1437[[#This Row],[Estimated Servings Annual]]</f>
        <v>#DIV/0!</v>
      </c>
      <c r="V82" s="83">
        <f>(Table1437[[#This Row],[Commercial Bid Price per case for NOI ($)]]-Table1437[[#This Row],[Pass-Thru Value per case ($)]])+Table1437[[#This Row],[Region 2: Fixed Fee Per Case ($)]]</f>
        <v>0</v>
      </c>
      <c r="W82" s="78" t="e">
        <f>(Table1437[[#This Row],[Commercial Bid Price per case for NOI ($)]]+Table1437[[#This Row],[Region 2: Fixed Fee Per Case ($)]])/Table1437[[#This Row],['# of CN Servings per case]]</f>
        <v>#DIV/0!</v>
      </c>
      <c r="X82" s="84" t="e">
        <f>Table1437[[#This Row],[Total Cost Per Serving (O+Q)/J]]*Table1437[[#This Row],[Estimated Servings Annual]]</f>
        <v>#DIV/0!</v>
      </c>
    </row>
    <row r="83" spans="1:24" x14ac:dyDescent="0.35">
      <c r="A83" s="30" t="s">
        <v>37</v>
      </c>
      <c r="B83" s="42" t="s">
        <v>54</v>
      </c>
      <c r="C83" s="6" t="s">
        <v>51</v>
      </c>
      <c r="D83" s="6"/>
      <c r="E83" s="6"/>
      <c r="F83" s="6"/>
      <c r="G83" s="6"/>
      <c r="H83" s="6"/>
      <c r="I83" s="6"/>
      <c r="J83" s="6"/>
      <c r="K83" s="48">
        <v>375000</v>
      </c>
      <c r="L83" s="6"/>
      <c r="M83" s="6"/>
      <c r="N83" s="6"/>
      <c r="O83" s="6"/>
      <c r="P83" s="6"/>
      <c r="Q83" s="6"/>
      <c r="R83" s="6"/>
      <c r="S83" s="79">
        <f>(Table1437[[#This Row],[Commercial Bid Price per case for NOI ($)]]-Table1437[[#This Row],[Pass-Thru Value per case ($)]])+Table1437[[#This Row],[Region 1: Fixed Fee Per Case ($)]]</f>
        <v>0</v>
      </c>
      <c r="T83" s="76" t="e">
        <f>(Table1437[[#This Row],[Commercial Bid Price per case for NOI ($)]]+Table1437[[#This Row],[Region 1: Fixed Fee Per Case ($)]])/Table1437[[#This Row],['# of CN Servings per case]]</f>
        <v>#DIV/0!</v>
      </c>
      <c r="U83" s="76" t="e">
        <f>Table1437[[#This Row],[Total Cost Per Serving (O+P)/J]]*Table1437[[#This Row],[Estimated Servings Annual]]</f>
        <v>#DIV/0!</v>
      </c>
      <c r="V83" s="79">
        <f>(Table1437[[#This Row],[Commercial Bid Price per case for NOI ($)]]-Table1437[[#This Row],[Pass-Thru Value per case ($)]])+Table1437[[#This Row],[Region 2: Fixed Fee Per Case ($)]]</f>
        <v>0</v>
      </c>
      <c r="W83" s="76" t="e">
        <f>(Table1437[[#This Row],[Commercial Bid Price per case for NOI ($)]]+Table1437[[#This Row],[Region 2: Fixed Fee Per Case ($)]])/Table1437[[#This Row],['# of CN Servings per case]]</f>
        <v>#DIV/0!</v>
      </c>
      <c r="X83" s="80" t="e">
        <f>Table1437[[#This Row],[Total Cost Per Serving (O+Q)/J]]*Table1437[[#This Row],[Estimated Servings Annual]]</f>
        <v>#DIV/0!</v>
      </c>
    </row>
    <row r="84" spans="1:24" x14ac:dyDescent="0.35">
      <c r="A84" s="30" t="s">
        <v>37</v>
      </c>
      <c r="B84" s="46" t="s">
        <v>54</v>
      </c>
      <c r="C84" s="7" t="s">
        <v>51</v>
      </c>
      <c r="D84" s="7"/>
      <c r="E84" s="7"/>
      <c r="F84" s="7"/>
      <c r="G84" s="7"/>
      <c r="H84" s="7"/>
      <c r="I84" s="7"/>
      <c r="J84" s="7"/>
      <c r="K84" s="49">
        <v>375000</v>
      </c>
      <c r="L84" s="7"/>
      <c r="M84" s="7"/>
      <c r="N84" s="7"/>
      <c r="O84" s="7"/>
      <c r="P84" s="7"/>
      <c r="Q84" s="7"/>
      <c r="R84" s="7"/>
      <c r="S84" s="81">
        <f>(Table1437[[#This Row],[Commercial Bid Price per case for NOI ($)]]-Table1437[[#This Row],[Pass-Thru Value per case ($)]])+Table1437[[#This Row],[Region 1: Fixed Fee Per Case ($)]]</f>
        <v>0</v>
      </c>
      <c r="T84" s="77" t="e">
        <f>(Table1437[[#This Row],[Commercial Bid Price per case for NOI ($)]]+Table1437[[#This Row],[Region 1: Fixed Fee Per Case ($)]])/Table1437[[#This Row],['# of CN Servings per case]]</f>
        <v>#DIV/0!</v>
      </c>
      <c r="U84" s="77" t="e">
        <f>Table1437[[#This Row],[Total Cost Per Serving (O+P)/J]]*Table1437[[#This Row],[Estimated Servings Annual]]</f>
        <v>#DIV/0!</v>
      </c>
      <c r="V84" s="81">
        <f>(Table1437[[#This Row],[Commercial Bid Price per case for NOI ($)]]-Table1437[[#This Row],[Pass-Thru Value per case ($)]])+Table1437[[#This Row],[Region 2: Fixed Fee Per Case ($)]]</f>
        <v>0</v>
      </c>
      <c r="W84" s="77" t="e">
        <f>(Table1437[[#This Row],[Commercial Bid Price per case for NOI ($)]]+Table1437[[#This Row],[Region 2: Fixed Fee Per Case ($)]])/Table1437[[#This Row],['# of CN Servings per case]]</f>
        <v>#DIV/0!</v>
      </c>
      <c r="X84" s="82" t="e">
        <f>Table1437[[#This Row],[Total Cost Per Serving (O+Q)/J]]*Table1437[[#This Row],[Estimated Servings Annual]]</f>
        <v>#DIV/0!</v>
      </c>
    </row>
    <row r="85" spans="1:24" x14ac:dyDescent="0.35">
      <c r="A85" s="30" t="s">
        <v>37</v>
      </c>
      <c r="B85" s="46" t="s">
        <v>54</v>
      </c>
      <c r="C85" s="7" t="s">
        <v>132</v>
      </c>
      <c r="D85" s="7"/>
      <c r="E85" s="7"/>
      <c r="F85" s="7"/>
      <c r="G85" s="7"/>
      <c r="H85" s="7"/>
      <c r="I85" s="7"/>
      <c r="J85" s="7"/>
      <c r="K85" s="49">
        <v>375000</v>
      </c>
      <c r="L85" s="7"/>
      <c r="M85" s="7"/>
      <c r="N85" s="7"/>
      <c r="O85" s="7"/>
      <c r="P85" s="7"/>
      <c r="Q85" s="7"/>
      <c r="R85" s="7"/>
      <c r="S85" s="81">
        <f>(Table1437[[#This Row],[Commercial Bid Price per case for NOI ($)]]-Table1437[[#This Row],[Pass-Thru Value per case ($)]])+Table1437[[#This Row],[Region 1: Fixed Fee Per Case ($)]]</f>
        <v>0</v>
      </c>
      <c r="T85" s="77" t="e">
        <f>(Table1437[[#This Row],[Commercial Bid Price per case for NOI ($)]]+Table1437[[#This Row],[Region 1: Fixed Fee Per Case ($)]])/Table1437[[#This Row],['# of CN Servings per case]]</f>
        <v>#DIV/0!</v>
      </c>
      <c r="U85" s="77" t="e">
        <f>Table1437[[#This Row],[Total Cost Per Serving (O+P)/J]]*Table1437[[#This Row],[Estimated Servings Annual]]</f>
        <v>#DIV/0!</v>
      </c>
      <c r="V85" s="81">
        <f>(Table1437[[#This Row],[Commercial Bid Price per case for NOI ($)]]-Table1437[[#This Row],[Pass-Thru Value per case ($)]])+Table1437[[#This Row],[Region 2: Fixed Fee Per Case ($)]]</f>
        <v>0</v>
      </c>
      <c r="W85" s="77" t="e">
        <f>(Table1437[[#This Row],[Commercial Bid Price per case for NOI ($)]]+Table1437[[#This Row],[Region 2: Fixed Fee Per Case ($)]])/Table1437[[#This Row],['# of CN Servings per case]]</f>
        <v>#DIV/0!</v>
      </c>
      <c r="X85" s="82" t="e">
        <f>Table1437[[#This Row],[Total Cost Per Serving (O+Q)/J]]*Table1437[[#This Row],[Estimated Servings Annual]]</f>
        <v>#DIV/0!</v>
      </c>
    </row>
    <row r="86" spans="1:24" x14ac:dyDescent="0.35">
      <c r="A86" s="30" t="s">
        <v>37</v>
      </c>
      <c r="B86" s="46" t="s">
        <v>54</v>
      </c>
      <c r="C86" s="7" t="s">
        <v>132</v>
      </c>
      <c r="D86" s="7"/>
      <c r="E86" s="7"/>
      <c r="F86" s="7"/>
      <c r="G86" s="7"/>
      <c r="H86" s="7"/>
      <c r="I86" s="7"/>
      <c r="J86" s="7"/>
      <c r="K86" s="49">
        <v>375000</v>
      </c>
      <c r="L86" s="7"/>
      <c r="M86" s="7"/>
      <c r="N86" s="7"/>
      <c r="O86" s="7"/>
      <c r="P86" s="7"/>
      <c r="Q86" s="7"/>
      <c r="R86" s="7"/>
      <c r="S86" s="81">
        <f>(Table1437[[#This Row],[Commercial Bid Price per case for NOI ($)]]-Table1437[[#This Row],[Pass-Thru Value per case ($)]])+Table1437[[#This Row],[Region 1: Fixed Fee Per Case ($)]]</f>
        <v>0</v>
      </c>
      <c r="T86" s="77" t="e">
        <f>(Table1437[[#This Row],[Commercial Bid Price per case for NOI ($)]]+Table1437[[#This Row],[Region 1: Fixed Fee Per Case ($)]])/Table1437[[#This Row],['# of CN Servings per case]]</f>
        <v>#DIV/0!</v>
      </c>
      <c r="U86" s="77" t="e">
        <f>Table1437[[#This Row],[Total Cost Per Serving (O+P)/J]]*Table1437[[#This Row],[Estimated Servings Annual]]</f>
        <v>#DIV/0!</v>
      </c>
      <c r="V86" s="81">
        <f>(Table1437[[#This Row],[Commercial Bid Price per case for NOI ($)]]-Table1437[[#This Row],[Pass-Thru Value per case ($)]])+Table1437[[#This Row],[Region 2: Fixed Fee Per Case ($)]]</f>
        <v>0</v>
      </c>
      <c r="W86" s="77" t="e">
        <f>(Table1437[[#This Row],[Commercial Bid Price per case for NOI ($)]]+Table1437[[#This Row],[Region 2: Fixed Fee Per Case ($)]])/Table1437[[#This Row],['# of CN Servings per case]]</f>
        <v>#DIV/0!</v>
      </c>
      <c r="X86" s="82" t="e">
        <f>Table1437[[#This Row],[Total Cost Per Serving (O+Q)/J]]*Table1437[[#This Row],[Estimated Servings Annual]]</f>
        <v>#DIV/0!</v>
      </c>
    </row>
    <row r="87" spans="1:24" x14ac:dyDescent="0.35">
      <c r="A87" s="30" t="s">
        <v>37</v>
      </c>
      <c r="B87" s="46" t="s">
        <v>54</v>
      </c>
      <c r="C87" s="7" t="s">
        <v>52</v>
      </c>
      <c r="D87" s="7"/>
      <c r="E87" s="7"/>
      <c r="F87" s="7"/>
      <c r="G87" s="7"/>
      <c r="H87" s="7"/>
      <c r="I87" s="7"/>
      <c r="J87" s="7"/>
      <c r="K87" s="49">
        <v>375000</v>
      </c>
      <c r="L87" s="7"/>
      <c r="M87" s="7"/>
      <c r="N87" s="7"/>
      <c r="O87" s="7"/>
      <c r="P87" s="7"/>
      <c r="Q87" s="7"/>
      <c r="R87" s="7"/>
      <c r="S87" s="81">
        <f>(Table1437[[#This Row],[Commercial Bid Price per case for NOI ($)]]-Table1437[[#This Row],[Pass-Thru Value per case ($)]])+Table1437[[#This Row],[Region 1: Fixed Fee Per Case ($)]]</f>
        <v>0</v>
      </c>
      <c r="T87" s="77" t="e">
        <f>(Table1437[[#This Row],[Commercial Bid Price per case for NOI ($)]]+Table1437[[#This Row],[Region 1: Fixed Fee Per Case ($)]])/Table1437[[#This Row],['# of CN Servings per case]]</f>
        <v>#DIV/0!</v>
      </c>
      <c r="U87" s="77" t="e">
        <f>Table1437[[#This Row],[Total Cost Per Serving (O+P)/J]]*Table1437[[#This Row],[Estimated Servings Annual]]</f>
        <v>#DIV/0!</v>
      </c>
      <c r="V87" s="81">
        <f>(Table1437[[#This Row],[Commercial Bid Price per case for NOI ($)]]-Table1437[[#This Row],[Pass-Thru Value per case ($)]])+Table1437[[#This Row],[Region 2: Fixed Fee Per Case ($)]]</f>
        <v>0</v>
      </c>
      <c r="W87" s="77" t="e">
        <f>(Table1437[[#This Row],[Commercial Bid Price per case for NOI ($)]]+Table1437[[#This Row],[Region 2: Fixed Fee Per Case ($)]])/Table1437[[#This Row],['# of CN Servings per case]]</f>
        <v>#DIV/0!</v>
      </c>
      <c r="X87" s="82" t="e">
        <f>Table1437[[#This Row],[Total Cost Per Serving (O+Q)/J]]*Table1437[[#This Row],[Estimated Servings Annual]]</f>
        <v>#DIV/0!</v>
      </c>
    </row>
    <row r="88" spans="1:24" x14ac:dyDescent="0.35">
      <c r="A88" s="30" t="s">
        <v>37</v>
      </c>
      <c r="B88" s="46" t="s">
        <v>54</v>
      </c>
      <c r="C88" s="7" t="s">
        <v>52</v>
      </c>
      <c r="D88" s="7"/>
      <c r="E88" s="7"/>
      <c r="F88" s="7"/>
      <c r="G88" s="7"/>
      <c r="H88" s="7"/>
      <c r="I88" s="7"/>
      <c r="J88" s="7"/>
      <c r="K88" s="49">
        <v>375000</v>
      </c>
      <c r="L88" s="7"/>
      <c r="M88" s="7"/>
      <c r="N88" s="7"/>
      <c r="O88" s="7"/>
      <c r="P88" s="7"/>
      <c r="Q88" s="7"/>
      <c r="R88" s="7"/>
      <c r="S88" s="81">
        <f>(Table1437[[#This Row],[Commercial Bid Price per case for NOI ($)]]-Table1437[[#This Row],[Pass-Thru Value per case ($)]])+Table1437[[#This Row],[Region 1: Fixed Fee Per Case ($)]]</f>
        <v>0</v>
      </c>
      <c r="T88" s="77" t="e">
        <f>(Table1437[[#This Row],[Commercial Bid Price per case for NOI ($)]]+Table1437[[#This Row],[Region 1: Fixed Fee Per Case ($)]])/Table1437[[#This Row],['# of CN Servings per case]]</f>
        <v>#DIV/0!</v>
      </c>
      <c r="U88" s="77" t="e">
        <f>Table1437[[#This Row],[Total Cost Per Serving (O+P)/J]]*Table1437[[#This Row],[Estimated Servings Annual]]</f>
        <v>#DIV/0!</v>
      </c>
      <c r="V88" s="81">
        <f>(Table1437[[#This Row],[Commercial Bid Price per case for NOI ($)]]-Table1437[[#This Row],[Pass-Thru Value per case ($)]])+Table1437[[#This Row],[Region 2: Fixed Fee Per Case ($)]]</f>
        <v>0</v>
      </c>
      <c r="W88" s="77" t="e">
        <f>(Table1437[[#This Row],[Commercial Bid Price per case for NOI ($)]]+Table1437[[#This Row],[Region 2: Fixed Fee Per Case ($)]])/Table1437[[#This Row],['# of CN Servings per case]]</f>
        <v>#DIV/0!</v>
      </c>
      <c r="X88" s="82" t="e">
        <f>Table1437[[#This Row],[Total Cost Per Serving (O+Q)/J]]*Table1437[[#This Row],[Estimated Servings Annual]]</f>
        <v>#DIV/0!</v>
      </c>
    </row>
    <row r="89" spans="1:24" x14ac:dyDescent="0.35">
      <c r="A89" s="30" t="s">
        <v>37</v>
      </c>
      <c r="B89" s="46" t="s">
        <v>54</v>
      </c>
      <c r="C89" s="7" t="s">
        <v>13</v>
      </c>
      <c r="D89" s="7"/>
      <c r="E89" s="7"/>
      <c r="F89" s="7"/>
      <c r="G89" s="7"/>
      <c r="H89" s="7"/>
      <c r="I89" s="7"/>
      <c r="J89" s="7"/>
      <c r="K89" s="49">
        <v>375000</v>
      </c>
      <c r="L89" s="7"/>
      <c r="M89" s="7"/>
      <c r="N89" s="7"/>
      <c r="O89" s="7"/>
      <c r="P89" s="7"/>
      <c r="Q89" s="7"/>
      <c r="R89" s="7"/>
      <c r="S89" s="81">
        <f>(Table1437[[#This Row],[Commercial Bid Price per case for NOI ($)]]-Table1437[[#This Row],[Pass-Thru Value per case ($)]])+Table1437[[#This Row],[Region 1: Fixed Fee Per Case ($)]]</f>
        <v>0</v>
      </c>
      <c r="T89" s="77" t="e">
        <f>(Table1437[[#This Row],[Commercial Bid Price per case for NOI ($)]]+Table1437[[#This Row],[Region 1: Fixed Fee Per Case ($)]])/Table1437[[#This Row],['# of CN Servings per case]]</f>
        <v>#DIV/0!</v>
      </c>
      <c r="U89" s="77" t="e">
        <f>Table1437[[#This Row],[Total Cost Per Serving (O+P)/J]]*Table1437[[#This Row],[Estimated Servings Annual]]</f>
        <v>#DIV/0!</v>
      </c>
      <c r="V89" s="81">
        <f>(Table1437[[#This Row],[Commercial Bid Price per case for NOI ($)]]-Table1437[[#This Row],[Pass-Thru Value per case ($)]])+Table1437[[#This Row],[Region 2: Fixed Fee Per Case ($)]]</f>
        <v>0</v>
      </c>
      <c r="W89" s="77" t="e">
        <f>(Table1437[[#This Row],[Commercial Bid Price per case for NOI ($)]]+Table1437[[#This Row],[Region 2: Fixed Fee Per Case ($)]])/Table1437[[#This Row],['# of CN Servings per case]]</f>
        <v>#DIV/0!</v>
      </c>
      <c r="X89" s="82" t="e">
        <f>Table1437[[#This Row],[Total Cost Per Serving (O+Q)/J]]*Table1437[[#This Row],[Estimated Servings Annual]]</f>
        <v>#DIV/0!</v>
      </c>
    </row>
    <row r="90" spans="1:24" ht="15" thickBot="1" x14ac:dyDescent="0.4">
      <c r="A90" s="30" t="s">
        <v>37</v>
      </c>
      <c r="B90" s="47" t="s">
        <v>54</v>
      </c>
      <c r="C90" s="27" t="s">
        <v>13</v>
      </c>
      <c r="D90" s="8"/>
      <c r="E90" s="8"/>
      <c r="F90" s="8"/>
      <c r="G90" s="8"/>
      <c r="H90" s="8"/>
      <c r="I90" s="8"/>
      <c r="J90" s="8"/>
      <c r="K90" s="50">
        <v>375000</v>
      </c>
      <c r="L90" s="8"/>
      <c r="M90" s="8"/>
      <c r="N90" s="8"/>
      <c r="O90" s="8"/>
      <c r="P90" s="8"/>
      <c r="Q90" s="8"/>
      <c r="R90" s="8"/>
      <c r="S90" s="83">
        <f>(Table1437[[#This Row],[Commercial Bid Price per case for NOI ($)]]-Table1437[[#This Row],[Pass-Thru Value per case ($)]])+Table1437[[#This Row],[Region 1: Fixed Fee Per Case ($)]]</f>
        <v>0</v>
      </c>
      <c r="T90" s="78" t="e">
        <f>(Table1437[[#This Row],[Commercial Bid Price per case for NOI ($)]]+Table1437[[#This Row],[Region 1: Fixed Fee Per Case ($)]])/Table1437[[#This Row],['# of CN Servings per case]]</f>
        <v>#DIV/0!</v>
      </c>
      <c r="U90" s="78" t="e">
        <f>Table1437[[#This Row],[Total Cost Per Serving (O+P)/J]]*Table1437[[#This Row],[Estimated Servings Annual]]</f>
        <v>#DIV/0!</v>
      </c>
      <c r="V90" s="83">
        <f>(Table1437[[#This Row],[Commercial Bid Price per case for NOI ($)]]-Table1437[[#This Row],[Pass-Thru Value per case ($)]])+Table1437[[#This Row],[Region 2: Fixed Fee Per Case ($)]]</f>
        <v>0</v>
      </c>
      <c r="W90" s="78" t="e">
        <f>(Table1437[[#This Row],[Commercial Bid Price per case for NOI ($)]]+Table1437[[#This Row],[Region 2: Fixed Fee Per Case ($)]])/Table1437[[#This Row],['# of CN Servings per case]]</f>
        <v>#DIV/0!</v>
      </c>
      <c r="X90" s="84" t="e">
        <f>Table1437[[#This Row],[Total Cost Per Serving (O+Q)/J]]*Table1437[[#This Row],[Estimated Servings Annual]]</f>
        <v>#DIV/0!</v>
      </c>
    </row>
    <row r="91" spans="1:24" x14ac:dyDescent="0.35">
      <c r="A91" s="30" t="s">
        <v>37</v>
      </c>
      <c r="B91" s="46" t="s">
        <v>127</v>
      </c>
      <c r="C91" s="7" t="s">
        <v>132</v>
      </c>
      <c r="D91" s="38"/>
      <c r="E91" s="38"/>
      <c r="F91" s="38"/>
      <c r="G91" s="38"/>
      <c r="H91" s="38"/>
      <c r="I91" s="38"/>
      <c r="J91" s="38"/>
      <c r="K91" s="51">
        <v>100000</v>
      </c>
      <c r="L91" s="38"/>
      <c r="M91" s="38"/>
      <c r="N91" s="38"/>
      <c r="O91" s="38"/>
      <c r="P91" s="38"/>
      <c r="Q91" s="38"/>
      <c r="R91" s="38"/>
      <c r="S91" s="88">
        <f>(Table1437[[#This Row],[Commercial Bid Price per case for NOI ($)]]-Table1437[[#This Row],[Pass-Thru Value per case ($)]])+Table1437[[#This Row],[Region 1: Fixed Fee Per Case ($)]]</f>
        <v>0</v>
      </c>
      <c r="T91" s="89" t="e">
        <f>(Table1437[[#This Row],[Commercial Bid Price per case for NOI ($)]]+Table1437[[#This Row],[Region 1: Fixed Fee Per Case ($)]])/Table1437[[#This Row],['# of CN Servings per case]]</f>
        <v>#DIV/0!</v>
      </c>
      <c r="U91" s="89" t="e">
        <f>Table1437[[#This Row],[Total Cost Per Serving (O+P)/J]]*Table1437[[#This Row],[Estimated Servings Annual]]</f>
        <v>#DIV/0!</v>
      </c>
      <c r="V91" s="88">
        <f>(Table1437[[#This Row],[Commercial Bid Price per case for NOI ($)]]-Table1437[[#This Row],[Pass-Thru Value per case ($)]])+Table1437[[#This Row],[Region 2: Fixed Fee Per Case ($)]]</f>
        <v>0</v>
      </c>
      <c r="W91" s="89" t="e">
        <f>(Table1437[[#This Row],[Commercial Bid Price per case for NOI ($)]]+Table1437[[#This Row],[Region 2: Fixed Fee Per Case ($)]])/Table1437[[#This Row],['# of CN Servings per case]]</f>
        <v>#DIV/0!</v>
      </c>
      <c r="X91" s="89" t="e">
        <f>Table1437[[#This Row],[Total Cost Per Serving (O+Q)/J]]*Table1437[[#This Row],[Estimated Servings Annual]]</f>
        <v>#DIV/0!</v>
      </c>
    </row>
    <row r="92" spans="1:24" x14ac:dyDescent="0.35">
      <c r="A92" s="30" t="s">
        <v>37</v>
      </c>
      <c r="B92" s="28" t="s">
        <v>127</v>
      </c>
      <c r="C92" s="7" t="s">
        <v>132</v>
      </c>
      <c r="D92" s="7"/>
      <c r="E92" s="7"/>
      <c r="F92" s="7"/>
      <c r="G92" s="7"/>
      <c r="H92" s="7"/>
      <c r="I92" s="7"/>
      <c r="J92" s="7"/>
      <c r="K92" s="51">
        <v>100000</v>
      </c>
      <c r="L92" s="7"/>
      <c r="M92" s="7"/>
      <c r="N92" s="7"/>
      <c r="O92" s="7"/>
      <c r="P92" s="7"/>
      <c r="Q92" s="7"/>
      <c r="R92" s="7"/>
      <c r="S92" s="81">
        <f>(Table1437[[#This Row],[Commercial Bid Price per case for NOI ($)]]-Table1437[[#This Row],[Pass-Thru Value per case ($)]])+Table1437[[#This Row],[Region 1: Fixed Fee Per Case ($)]]</f>
        <v>0</v>
      </c>
      <c r="T92" s="77" t="e">
        <f>(Table1437[[#This Row],[Commercial Bid Price per case for NOI ($)]]+Table1437[[#This Row],[Region 1: Fixed Fee Per Case ($)]])/Table1437[[#This Row],['# of CN Servings per case]]</f>
        <v>#DIV/0!</v>
      </c>
      <c r="U92" s="77" t="e">
        <f>Table1437[[#This Row],[Total Cost Per Serving (O+P)/J]]*Table1437[[#This Row],[Estimated Servings Annual]]</f>
        <v>#DIV/0!</v>
      </c>
      <c r="V92" s="81">
        <f>(Table1437[[#This Row],[Commercial Bid Price per case for NOI ($)]]-Table1437[[#This Row],[Pass-Thru Value per case ($)]])+Table1437[[#This Row],[Region 2: Fixed Fee Per Case ($)]]</f>
        <v>0</v>
      </c>
      <c r="W92" s="77" t="e">
        <f>(Table1437[[#This Row],[Commercial Bid Price per case for NOI ($)]]+Table1437[[#This Row],[Region 2: Fixed Fee Per Case ($)]])/Table1437[[#This Row],['# of CN Servings per case]]</f>
        <v>#DIV/0!</v>
      </c>
      <c r="X92" s="77" t="e">
        <f>Table1437[[#This Row],[Total Cost Per Serving (O+Q)/J]]*Table1437[[#This Row],[Estimated Servings Annual]]</f>
        <v>#DIV/0!</v>
      </c>
    </row>
    <row r="93" spans="1:24" x14ac:dyDescent="0.35">
      <c r="A93" s="30" t="s">
        <v>37</v>
      </c>
      <c r="B93" s="28" t="s">
        <v>127</v>
      </c>
      <c r="C93" s="7" t="s">
        <v>52</v>
      </c>
      <c r="D93" s="7"/>
      <c r="E93" s="7"/>
      <c r="F93" s="7"/>
      <c r="G93" s="7"/>
      <c r="H93" s="7"/>
      <c r="I93" s="7"/>
      <c r="J93" s="7"/>
      <c r="K93" s="51">
        <v>100000</v>
      </c>
      <c r="L93" s="7"/>
      <c r="M93" s="7"/>
      <c r="N93" s="7"/>
      <c r="O93" s="7"/>
      <c r="P93" s="7"/>
      <c r="Q93" s="7"/>
      <c r="R93" s="7"/>
      <c r="S93" s="81">
        <f>(Table1437[[#This Row],[Commercial Bid Price per case for NOI ($)]]-Table1437[[#This Row],[Pass-Thru Value per case ($)]])+Table1437[[#This Row],[Region 1: Fixed Fee Per Case ($)]]</f>
        <v>0</v>
      </c>
      <c r="T93" s="77" t="e">
        <f>(Table1437[[#This Row],[Commercial Bid Price per case for NOI ($)]]+Table1437[[#This Row],[Region 1: Fixed Fee Per Case ($)]])/Table1437[[#This Row],['# of CN Servings per case]]</f>
        <v>#DIV/0!</v>
      </c>
      <c r="U93" s="77" t="e">
        <f>Table1437[[#This Row],[Total Cost Per Serving (O+P)/J]]*Table1437[[#This Row],[Estimated Servings Annual]]</f>
        <v>#DIV/0!</v>
      </c>
      <c r="V93" s="81">
        <f>(Table1437[[#This Row],[Commercial Bid Price per case for NOI ($)]]-Table1437[[#This Row],[Pass-Thru Value per case ($)]])+Table1437[[#This Row],[Region 2: Fixed Fee Per Case ($)]]</f>
        <v>0</v>
      </c>
      <c r="W93" s="77" t="e">
        <f>(Table1437[[#This Row],[Commercial Bid Price per case for NOI ($)]]+Table1437[[#This Row],[Region 2: Fixed Fee Per Case ($)]])/Table1437[[#This Row],['# of CN Servings per case]]</f>
        <v>#DIV/0!</v>
      </c>
      <c r="X93" s="77" t="e">
        <f>Table1437[[#This Row],[Total Cost Per Serving (O+Q)/J]]*Table1437[[#This Row],[Estimated Servings Annual]]</f>
        <v>#DIV/0!</v>
      </c>
    </row>
    <row r="94" spans="1:24" x14ac:dyDescent="0.35">
      <c r="A94" s="30" t="s">
        <v>37</v>
      </c>
      <c r="B94" s="28" t="s">
        <v>127</v>
      </c>
      <c r="C94" s="7" t="s">
        <v>52</v>
      </c>
      <c r="D94" s="7"/>
      <c r="E94" s="7"/>
      <c r="F94" s="7"/>
      <c r="G94" s="7"/>
      <c r="H94" s="7"/>
      <c r="I94" s="7"/>
      <c r="J94" s="7"/>
      <c r="K94" s="51">
        <v>100000</v>
      </c>
      <c r="L94" s="7"/>
      <c r="M94" s="7"/>
      <c r="N94" s="7"/>
      <c r="O94" s="7"/>
      <c r="P94" s="7"/>
      <c r="Q94" s="7"/>
      <c r="R94" s="7"/>
      <c r="S94" s="81">
        <f>(Table1437[[#This Row],[Commercial Bid Price per case for NOI ($)]]-Table1437[[#This Row],[Pass-Thru Value per case ($)]])+Table1437[[#This Row],[Region 1: Fixed Fee Per Case ($)]]</f>
        <v>0</v>
      </c>
      <c r="T94" s="77" t="e">
        <f>(Table1437[[#This Row],[Commercial Bid Price per case for NOI ($)]]+Table1437[[#This Row],[Region 1: Fixed Fee Per Case ($)]])/Table1437[[#This Row],['# of CN Servings per case]]</f>
        <v>#DIV/0!</v>
      </c>
      <c r="U94" s="77" t="e">
        <f>Table1437[[#This Row],[Total Cost Per Serving (O+P)/J]]*Table1437[[#This Row],[Estimated Servings Annual]]</f>
        <v>#DIV/0!</v>
      </c>
      <c r="V94" s="81">
        <f>(Table1437[[#This Row],[Commercial Bid Price per case for NOI ($)]]-Table1437[[#This Row],[Pass-Thru Value per case ($)]])+Table1437[[#This Row],[Region 2: Fixed Fee Per Case ($)]]</f>
        <v>0</v>
      </c>
      <c r="W94" s="77" t="e">
        <f>(Table1437[[#This Row],[Commercial Bid Price per case for NOI ($)]]+Table1437[[#This Row],[Region 2: Fixed Fee Per Case ($)]])/Table1437[[#This Row],['# of CN Servings per case]]</f>
        <v>#DIV/0!</v>
      </c>
      <c r="X94" s="77" t="e">
        <f>Table1437[[#This Row],[Total Cost Per Serving (O+Q)/J]]*Table1437[[#This Row],[Estimated Servings Annual]]</f>
        <v>#DIV/0!</v>
      </c>
    </row>
    <row r="95" spans="1:24" x14ac:dyDescent="0.35">
      <c r="A95" s="30" t="s">
        <v>37</v>
      </c>
      <c r="B95" s="28" t="s">
        <v>127</v>
      </c>
      <c r="C95" s="7" t="s">
        <v>13</v>
      </c>
      <c r="D95" s="7"/>
      <c r="E95" s="7"/>
      <c r="F95" s="7"/>
      <c r="G95" s="7"/>
      <c r="H95" s="7"/>
      <c r="I95" s="7"/>
      <c r="J95" s="7"/>
      <c r="K95" s="51">
        <v>100000</v>
      </c>
      <c r="L95" s="7"/>
      <c r="M95" s="7"/>
      <c r="N95" s="7"/>
      <c r="O95" s="7"/>
      <c r="P95" s="7"/>
      <c r="Q95" s="7"/>
      <c r="R95" s="7"/>
      <c r="S95" s="81">
        <f>(Table1437[[#This Row],[Commercial Bid Price per case for NOI ($)]]-Table1437[[#This Row],[Pass-Thru Value per case ($)]])+Table1437[[#This Row],[Region 1: Fixed Fee Per Case ($)]]</f>
        <v>0</v>
      </c>
      <c r="T95" s="77" t="e">
        <f>(Table1437[[#This Row],[Commercial Bid Price per case for NOI ($)]]+Table1437[[#This Row],[Region 1: Fixed Fee Per Case ($)]])/Table1437[[#This Row],['# of CN Servings per case]]</f>
        <v>#DIV/0!</v>
      </c>
      <c r="U95" s="77" t="e">
        <f>Table1437[[#This Row],[Total Cost Per Serving (O+P)/J]]*Table1437[[#This Row],[Estimated Servings Annual]]</f>
        <v>#DIV/0!</v>
      </c>
      <c r="V95" s="81">
        <f>(Table1437[[#This Row],[Commercial Bid Price per case for NOI ($)]]-Table1437[[#This Row],[Pass-Thru Value per case ($)]])+Table1437[[#This Row],[Region 2: Fixed Fee Per Case ($)]]</f>
        <v>0</v>
      </c>
      <c r="W95" s="77" t="e">
        <f>(Table1437[[#This Row],[Commercial Bid Price per case for NOI ($)]]+Table1437[[#This Row],[Region 2: Fixed Fee Per Case ($)]])/Table1437[[#This Row],['# of CN Servings per case]]</f>
        <v>#DIV/0!</v>
      </c>
      <c r="X95" s="77" t="e">
        <f>Table1437[[#This Row],[Total Cost Per Serving (O+Q)/J]]*Table1437[[#This Row],[Estimated Servings Annual]]</f>
        <v>#DIV/0!</v>
      </c>
    </row>
    <row r="96" spans="1:24" x14ac:dyDescent="0.35">
      <c r="A96" s="30" t="s">
        <v>37</v>
      </c>
      <c r="B96" s="28" t="s">
        <v>127</v>
      </c>
      <c r="C96" s="7" t="s">
        <v>13</v>
      </c>
      <c r="D96" s="7"/>
      <c r="E96" s="7"/>
      <c r="F96" s="7"/>
      <c r="G96" s="7"/>
      <c r="H96" s="7"/>
      <c r="I96" s="7"/>
      <c r="J96" s="7"/>
      <c r="K96" s="51">
        <v>100000</v>
      </c>
      <c r="L96" s="7"/>
      <c r="M96" s="7"/>
      <c r="N96" s="7"/>
      <c r="O96" s="7"/>
      <c r="P96" s="7"/>
      <c r="Q96" s="7"/>
      <c r="R96" s="7"/>
      <c r="S96" s="81">
        <f>(Table1437[[#This Row],[Commercial Bid Price per case for NOI ($)]]-Table1437[[#This Row],[Pass-Thru Value per case ($)]])+Table1437[[#This Row],[Region 1: Fixed Fee Per Case ($)]]</f>
        <v>0</v>
      </c>
      <c r="T96" s="77" t="e">
        <f>(Table1437[[#This Row],[Commercial Bid Price per case for NOI ($)]]+Table1437[[#This Row],[Region 1: Fixed Fee Per Case ($)]])/Table1437[[#This Row],['# of CN Servings per case]]</f>
        <v>#DIV/0!</v>
      </c>
      <c r="U96" s="77" t="e">
        <f>Table1437[[#This Row],[Total Cost Per Serving (O+P)/J]]*Table1437[[#This Row],[Estimated Servings Annual]]</f>
        <v>#DIV/0!</v>
      </c>
      <c r="V96" s="81">
        <f>(Table1437[[#This Row],[Commercial Bid Price per case for NOI ($)]]-Table1437[[#This Row],[Pass-Thru Value per case ($)]])+Table1437[[#This Row],[Region 2: Fixed Fee Per Case ($)]]</f>
        <v>0</v>
      </c>
      <c r="W96" s="77" t="e">
        <f>(Table1437[[#This Row],[Commercial Bid Price per case for NOI ($)]]+Table1437[[#This Row],[Region 2: Fixed Fee Per Case ($)]])/Table1437[[#This Row],['# of CN Servings per case]]</f>
        <v>#DIV/0!</v>
      </c>
      <c r="X96" s="77" t="e">
        <f>Table1437[[#This Row],[Total Cost Per Serving (O+Q)/J]]*Table1437[[#This Row],[Estimated Servings Annual]]</f>
        <v>#DIV/0!</v>
      </c>
    </row>
    <row r="97" spans="1:24" x14ac:dyDescent="0.35">
      <c r="A97" s="30" t="s">
        <v>37</v>
      </c>
      <c r="B97" s="28" t="s">
        <v>127</v>
      </c>
      <c r="C97" s="7" t="s">
        <v>13</v>
      </c>
      <c r="D97" s="7"/>
      <c r="E97" s="7"/>
      <c r="F97" s="7"/>
      <c r="G97" s="7"/>
      <c r="H97" s="7"/>
      <c r="I97" s="7"/>
      <c r="J97" s="7"/>
      <c r="K97" s="51">
        <v>100000</v>
      </c>
      <c r="L97" s="7"/>
      <c r="M97" s="7"/>
      <c r="N97" s="7"/>
      <c r="O97" s="7"/>
      <c r="P97" s="7"/>
      <c r="Q97" s="7"/>
      <c r="R97" s="7"/>
      <c r="S97" s="81">
        <f>(Table1437[[#This Row],[Commercial Bid Price per case for NOI ($)]]-Table1437[[#This Row],[Pass-Thru Value per case ($)]])+Table1437[[#This Row],[Region 1: Fixed Fee Per Case ($)]]</f>
        <v>0</v>
      </c>
      <c r="T97" s="77" t="e">
        <f>(Table1437[[#This Row],[Commercial Bid Price per case for NOI ($)]]+Table1437[[#This Row],[Region 1: Fixed Fee Per Case ($)]])/Table1437[[#This Row],['# of CN Servings per case]]</f>
        <v>#DIV/0!</v>
      </c>
      <c r="U97" s="77" t="e">
        <f>Table1437[[#This Row],[Total Cost Per Serving (O+P)/J]]*Table1437[[#This Row],[Estimated Servings Annual]]</f>
        <v>#DIV/0!</v>
      </c>
      <c r="V97" s="81">
        <f>(Table1437[[#This Row],[Commercial Bid Price per case for NOI ($)]]-Table1437[[#This Row],[Pass-Thru Value per case ($)]])+Table1437[[#This Row],[Region 2: Fixed Fee Per Case ($)]]</f>
        <v>0</v>
      </c>
      <c r="W97" s="77" t="e">
        <f>(Table1437[[#This Row],[Commercial Bid Price per case for NOI ($)]]+Table1437[[#This Row],[Region 2: Fixed Fee Per Case ($)]])/Table1437[[#This Row],['# of CN Servings per case]]</f>
        <v>#DIV/0!</v>
      </c>
      <c r="X97" s="77" t="e">
        <f>Table1437[[#This Row],[Total Cost Per Serving (O+Q)/J]]*Table1437[[#This Row],[Estimated Servings Annual]]</f>
        <v>#DIV/0!</v>
      </c>
    </row>
    <row r="98" spans="1:24" ht="15" thickBot="1" x14ac:dyDescent="0.4">
      <c r="A98" s="30" t="s">
        <v>37</v>
      </c>
      <c r="B98" s="32" t="s">
        <v>127</v>
      </c>
      <c r="C98" s="27" t="s">
        <v>13</v>
      </c>
      <c r="D98" s="27"/>
      <c r="E98" s="27"/>
      <c r="F98" s="27"/>
      <c r="G98" s="27"/>
      <c r="H98" s="27"/>
      <c r="I98" s="27"/>
      <c r="J98" s="27"/>
      <c r="K98" s="51">
        <v>100000</v>
      </c>
      <c r="L98" s="27"/>
      <c r="M98" s="27"/>
      <c r="N98" s="27"/>
      <c r="O98" s="27"/>
      <c r="P98" s="27"/>
      <c r="Q98" s="27"/>
      <c r="R98" s="27"/>
      <c r="S98" s="90">
        <f>(Table1437[[#This Row],[Commercial Bid Price per case for NOI ($)]]-Table1437[[#This Row],[Pass-Thru Value per case ($)]])+Table1437[[#This Row],[Region 1: Fixed Fee Per Case ($)]]</f>
        <v>0</v>
      </c>
      <c r="T98" s="91" t="e">
        <f>(Table1437[[#This Row],[Commercial Bid Price per case for NOI ($)]]+Table1437[[#This Row],[Region 1: Fixed Fee Per Case ($)]])/Table1437[[#This Row],['# of CN Servings per case]]</f>
        <v>#DIV/0!</v>
      </c>
      <c r="U98" s="91" t="e">
        <f>Table1437[[#This Row],[Total Cost Per Serving (O+P)/J]]*Table1437[[#This Row],[Estimated Servings Annual]]</f>
        <v>#DIV/0!</v>
      </c>
      <c r="V98" s="90">
        <f>(Table1437[[#This Row],[Commercial Bid Price per case for NOI ($)]]-Table1437[[#This Row],[Pass-Thru Value per case ($)]])+Table1437[[#This Row],[Region 2: Fixed Fee Per Case ($)]]</f>
        <v>0</v>
      </c>
      <c r="W98" s="91" t="e">
        <f>(Table1437[[#This Row],[Commercial Bid Price per case for NOI ($)]]+Table1437[[#This Row],[Region 2: Fixed Fee Per Case ($)]])/Table1437[[#This Row],['# of CN Servings per case]]</f>
        <v>#DIV/0!</v>
      </c>
      <c r="X98" s="91" t="e">
        <f>Table1437[[#This Row],[Total Cost Per Serving (O+Q)/J]]*Table1437[[#This Row],[Estimated Servings Annual]]</f>
        <v>#DIV/0!</v>
      </c>
    </row>
    <row r="99" spans="1:24" x14ac:dyDescent="0.35">
      <c r="A99" s="30" t="s">
        <v>37</v>
      </c>
      <c r="B99" s="11" t="s">
        <v>128</v>
      </c>
      <c r="C99" s="7" t="s">
        <v>132</v>
      </c>
      <c r="D99" s="6"/>
      <c r="E99" s="6"/>
      <c r="F99" s="6"/>
      <c r="G99" s="6"/>
      <c r="H99" s="6"/>
      <c r="I99" s="6"/>
      <c r="J99" s="6"/>
      <c r="K99" s="48">
        <v>50000</v>
      </c>
      <c r="L99" s="6"/>
      <c r="M99" s="6"/>
      <c r="N99" s="6"/>
      <c r="O99" s="6"/>
      <c r="P99" s="6"/>
      <c r="Q99" s="6"/>
      <c r="R99" s="6"/>
      <c r="S99" s="79">
        <f>(Table1437[[#This Row],[Commercial Bid Price per case for NOI ($)]]-Table1437[[#This Row],[Pass-Thru Value per case ($)]])+Table1437[[#This Row],[Region 1: Fixed Fee Per Case ($)]]</f>
        <v>0</v>
      </c>
      <c r="T99" s="76" t="e">
        <f>(Table1437[[#This Row],[Commercial Bid Price per case for NOI ($)]]+Table1437[[#This Row],[Region 1: Fixed Fee Per Case ($)]])/Table1437[[#This Row],['# of CN Servings per case]]</f>
        <v>#DIV/0!</v>
      </c>
      <c r="U99" s="76" t="e">
        <f>Table1437[[#This Row],[Total Cost Per Serving (O+P)/J]]*Table1437[[#This Row],[Estimated Servings Annual]]</f>
        <v>#DIV/0!</v>
      </c>
      <c r="V99" s="79">
        <f>(Table1437[[#This Row],[Commercial Bid Price per case for NOI ($)]]-Table1437[[#This Row],[Pass-Thru Value per case ($)]])+Table1437[[#This Row],[Region 2: Fixed Fee Per Case ($)]]</f>
        <v>0</v>
      </c>
      <c r="W99" s="76" t="e">
        <f>(Table1437[[#This Row],[Commercial Bid Price per case for NOI ($)]]+Table1437[[#This Row],[Region 2: Fixed Fee Per Case ($)]])/Table1437[[#This Row],['# of CN Servings per case]]</f>
        <v>#DIV/0!</v>
      </c>
      <c r="X99" s="80" t="e">
        <f>Table1437[[#This Row],[Total Cost Per Serving (O+Q)/J]]*Table1437[[#This Row],[Estimated Servings Annual]]</f>
        <v>#DIV/0!</v>
      </c>
    </row>
    <row r="100" spans="1:24" x14ac:dyDescent="0.35">
      <c r="A100" s="30" t="s">
        <v>37</v>
      </c>
      <c r="B100" s="12" t="s">
        <v>128</v>
      </c>
      <c r="C100" s="7" t="s">
        <v>132</v>
      </c>
      <c r="D100" s="7"/>
      <c r="E100" s="7"/>
      <c r="F100" s="7"/>
      <c r="G100" s="7"/>
      <c r="H100" s="7"/>
      <c r="I100" s="7"/>
      <c r="J100" s="7"/>
      <c r="K100" s="49">
        <v>50000</v>
      </c>
      <c r="L100" s="7"/>
      <c r="M100" s="7"/>
      <c r="N100" s="7"/>
      <c r="O100" s="7"/>
      <c r="P100" s="7"/>
      <c r="Q100" s="7"/>
      <c r="R100" s="7"/>
      <c r="S100" s="81">
        <f>(Table1437[[#This Row],[Commercial Bid Price per case for NOI ($)]]-Table1437[[#This Row],[Pass-Thru Value per case ($)]])+Table1437[[#This Row],[Region 1: Fixed Fee Per Case ($)]]</f>
        <v>0</v>
      </c>
      <c r="T100" s="77" t="e">
        <f>(Table1437[[#This Row],[Commercial Bid Price per case for NOI ($)]]+Table1437[[#This Row],[Region 1: Fixed Fee Per Case ($)]])/Table1437[[#This Row],['# of CN Servings per case]]</f>
        <v>#DIV/0!</v>
      </c>
      <c r="U100" s="77" t="e">
        <f>Table1437[[#This Row],[Total Cost Per Serving (O+P)/J]]*Table1437[[#This Row],[Estimated Servings Annual]]</f>
        <v>#DIV/0!</v>
      </c>
      <c r="V100" s="81">
        <f>(Table1437[[#This Row],[Commercial Bid Price per case for NOI ($)]]-Table1437[[#This Row],[Pass-Thru Value per case ($)]])+Table1437[[#This Row],[Region 2: Fixed Fee Per Case ($)]]</f>
        <v>0</v>
      </c>
      <c r="W100" s="77" t="e">
        <f>(Table1437[[#This Row],[Commercial Bid Price per case for NOI ($)]]+Table1437[[#This Row],[Region 2: Fixed Fee Per Case ($)]])/Table1437[[#This Row],['# of CN Servings per case]]</f>
        <v>#DIV/0!</v>
      </c>
      <c r="X100" s="82" t="e">
        <f>Table1437[[#This Row],[Total Cost Per Serving (O+Q)/J]]*Table1437[[#This Row],[Estimated Servings Annual]]</f>
        <v>#DIV/0!</v>
      </c>
    </row>
    <row r="101" spans="1:24" x14ac:dyDescent="0.35">
      <c r="A101" s="30" t="s">
        <v>37</v>
      </c>
      <c r="B101" s="12" t="s">
        <v>128</v>
      </c>
      <c r="C101" s="7" t="s">
        <v>52</v>
      </c>
      <c r="D101" s="7"/>
      <c r="E101" s="7"/>
      <c r="F101" s="7"/>
      <c r="G101" s="7"/>
      <c r="H101" s="7"/>
      <c r="I101" s="7"/>
      <c r="J101" s="7"/>
      <c r="K101" s="49">
        <v>50000</v>
      </c>
      <c r="L101" s="7"/>
      <c r="M101" s="7"/>
      <c r="N101" s="7"/>
      <c r="O101" s="7"/>
      <c r="P101" s="7"/>
      <c r="Q101" s="7"/>
      <c r="R101" s="7"/>
      <c r="S101" s="81">
        <f>(Table1437[[#This Row],[Commercial Bid Price per case for NOI ($)]]-Table1437[[#This Row],[Pass-Thru Value per case ($)]])+Table1437[[#This Row],[Region 1: Fixed Fee Per Case ($)]]</f>
        <v>0</v>
      </c>
      <c r="T101" s="77" t="e">
        <f>(Table1437[[#This Row],[Commercial Bid Price per case for NOI ($)]]+Table1437[[#This Row],[Region 1: Fixed Fee Per Case ($)]])/Table1437[[#This Row],['# of CN Servings per case]]</f>
        <v>#DIV/0!</v>
      </c>
      <c r="U101" s="77" t="e">
        <f>Table1437[[#This Row],[Total Cost Per Serving (O+P)/J]]*Table1437[[#This Row],[Estimated Servings Annual]]</f>
        <v>#DIV/0!</v>
      </c>
      <c r="V101" s="81">
        <f>(Table1437[[#This Row],[Commercial Bid Price per case for NOI ($)]]-Table1437[[#This Row],[Pass-Thru Value per case ($)]])+Table1437[[#This Row],[Region 2: Fixed Fee Per Case ($)]]</f>
        <v>0</v>
      </c>
      <c r="W101" s="77" t="e">
        <f>(Table1437[[#This Row],[Commercial Bid Price per case for NOI ($)]]+Table1437[[#This Row],[Region 2: Fixed Fee Per Case ($)]])/Table1437[[#This Row],['# of CN Servings per case]]</f>
        <v>#DIV/0!</v>
      </c>
      <c r="X101" s="82" t="e">
        <f>Table1437[[#This Row],[Total Cost Per Serving (O+Q)/J]]*Table1437[[#This Row],[Estimated Servings Annual]]</f>
        <v>#DIV/0!</v>
      </c>
    </row>
    <row r="102" spans="1:24" x14ac:dyDescent="0.35">
      <c r="A102" s="30" t="s">
        <v>37</v>
      </c>
      <c r="B102" s="12" t="s">
        <v>128</v>
      </c>
      <c r="C102" s="7" t="s">
        <v>52</v>
      </c>
      <c r="D102" s="7"/>
      <c r="E102" s="7"/>
      <c r="F102" s="7"/>
      <c r="G102" s="7"/>
      <c r="H102" s="7"/>
      <c r="I102" s="7"/>
      <c r="J102" s="7"/>
      <c r="K102" s="49">
        <v>50000</v>
      </c>
      <c r="L102" s="7"/>
      <c r="M102" s="7"/>
      <c r="N102" s="7"/>
      <c r="O102" s="7"/>
      <c r="P102" s="7"/>
      <c r="Q102" s="7"/>
      <c r="R102" s="7"/>
      <c r="S102" s="81">
        <f>(Table1437[[#This Row],[Commercial Bid Price per case for NOI ($)]]-Table1437[[#This Row],[Pass-Thru Value per case ($)]])+Table1437[[#This Row],[Region 1: Fixed Fee Per Case ($)]]</f>
        <v>0</v>
      </c>
      <c r="T102" s="77" t="e">
        <f>(Table1437[[#This Row],[Commercial Bid Price per case for NOI ($)]]+Table1437[[#This Row],[Region 1: Fixed Fee Per Case ($)]])/Table1437[[#This Row],['# of CN Servings per case]]</f>
        <v>#DIV/0!</v>
      </c>
      <c r="U102" s="77" t="e">
        <f>Table1437[[#This Row],[Total Cost Per Serving (O+P)/J]]*Table1437[[#This Row],[Estimated Servings Annual]]</f>
        <v>#DIV/0!</v>
      </c>
      <c r="V102" s="81">
        <f>(Table1437[[#This Row],[Commercial Bid Price per case for NOI ($)]]-Table1437[[#This Row],[Pass-Thru Value per case ($)]])+Table1437[[#This Row],[Region 2: Fixed Fee Per Case ($)]]</f>
        <v>0</v>
      </c>
      <c r="W102" s="77" t="e">
        <f>(Table1437[[#This Row],[Commercial Bid Price per case for NOI ($)]]+Table1437[[#This Row],[Region 2: Fixed Fee Per Case ($)]])/Table1437[[#This Row],['# of CN Servings per case]]</f>
        <v>#DIV/0!</v>
      </c>
      <c r="X102" s="82" t="e">
        <f>Table1437[[#This Row],[Total Cost Per Serving (O+Q)/J]]*Table1437[[#This Row],[Estimated Servings Annual]]</f>
        <v>#DIV/0!</v>
      </c>
    </row>
    <row r="103" spans="1:24" x14ac:dyDescent="0.35">
      <c r="A103" s="30" t="s">
        <v>37</v>
      </c>
      <c r="B103" s="12" t="s">
        <v>128</v>
      </c>
      <c r="C103" s="7" t="s">
        <v>13</v>
      </c>
      <c r="D103" s="7"/>
      <c r="E103" s="7"/>
      <c r="F103" s="7"/>
      <c r="G103" s="7"/>
      <c r="H103" s="7"/>
      <c r="I103" s="7"/>
      <c r="J103" s="7"/>
      <c r="K103" s="49">
        <v>50000</v>
      </c>
      <c r="L103" s="7"/>
      <c r="M103" s="7"/>
      <c r="N103" s="7"/>
      <c r="O103" s="7"/>
      <c r="P103" s="7"/>
      <c r="Q103" s="7"/>
      <c r="R103" s="7"/>
      <c r="S103" s="81">
        <f>(Table1437[[#This Row],[Commercial Bid Price per case for NOI ($)]]-Table1437[[#This Row],[Pass-Thru Value per case ($)]])+Table1437[[#This Row],[Region 1: Fixed Fee Per Case ($)]]</f>
        <v>0</v>
      </c>
      <c r="T103" s="77" t="e">
        <f>(Table1437[[#This Row],[Commercial Bid Price per case for NOI ($)]]+Table1437[[#This Row],[Region 1: Fixed Fee Per Case ($)]])/Table1437[[#This Row],['# of CN Servings per case]]</f>
        <v>#DIV/0!</v>
      </c>
      <c r="U103" s="77" t="e">
        <f>Table1437[[#This Row],[Total Cost Per Serving (O+P)/J]]*Table1437[[#This Row],[Estimated Servings Annual]]</f>
        <v>#DIV/0!</v>
      </c>
      <c r="V103" s="81">
        <f>(Table1437[[#This Row],[Commercial Bid Price per case for NOI ($)]]-Table1437[[#This Row],[Pass-Thru Value per case ($)]])+Table1437[[#This Row],[Region 2: Fixed Fee Per Case ($)]]</f>
        <v>0</v>
      </c>
      <c r="W103" s="77" t="e">
        <f>(Table1437[[#This Row],[Commercial Bid Price per case for NOI ($)]]+Table1437[[#This Row],[Region 2: Fixed Fee Per Case ($)]])/Table1437[[#This Row],['# of CN Servings per case]]</f>
        <v>#DIV/0!</v>
      </c>
      <c r="X103" s="82" t="e">
        <f>Table1437[[#This Row],[Total Cost Per Serving (O+Q)/J]]*Table1437[[#This Row],[Estimated Servings Annual]]</f>
        <v>#DIV/0!</v>
      </c>
    </row>
    <row r="104" spans="1:24" x14ac:dyDescent="0.35">
      <c r="A104" s="30" t="s">
        <v>37</v>
      </c>
      <c r="B104" s="12" t="s">
        <v>128</v>
      </c>
      <c r="C104" s="7" t="s">
        <v>13</v>
      </c>
      <c r="D104" s="7"/>
      <c r="E104" s="7"/>
      <c r="F104" s="7"/>
      <c r="G104" s="7"/>
      <c r="H104" s="7"/>
      <c r="I104" s="7"/>
      <c r="J104" s="7"/>
      <c r="K104" s="49">
        <v>50000</v>
      </c>
      <c r="L104" s="7"/>
      <c r="M104" s="7"/>
      <c r="N104" s="7"/>
      <c r="O104" s="7"/>
      <c r="P104" s="7"/>
      <c r="Q104" s="7"/>
      <c r="R104" s="7"/>
      <c r="S104" s="81">
        <f>(Table1437[[#This Row],[Commercial Bid Price per case for NOI ($)]]-Table1437[[#This Row],[Pass-Thru Value per case ($)]])+Table1437[[#This Row],[Region 1: Fixed Fee Per Case ($)]]</f>
        <v>0</v>
      </c>
      <c r="T104" s="77" t="e">
        <f>(Table1437[[#This Row],[Commercial Bid Price per case for NOI ($)]]+Table1437[[#This Row],[Region 1: Fixed Fee Per Case ($)]])/Table1437[[#This Row],['# of CN Servings per case]]</f>
        <v>#DIV/0!</v>
      </c>
      <c r="U104" s="77" t="e">
        <f>Table1437[[#This Row],[Total Cost Per Serving (O+P)/J]]*Table1437[[#This Row],[Estimated Servings Annual]]</f>
        <v>#DIV/0!</v>
      </c>
      <c r="V104" s="81">
        <f>(Table1437[[#This Row],[Commercial Bid Price per case for NOI ($)]]-Table1437[[#This Row],[Pass-Thru Value per case ($)]])+Table1437[[#This Row],[Region 2: Fixed Fee Per Case ($)]]</f>
        <v>0</v>
      </c>
      <c r="W104" s="77" t="e">
        <f>(Table1437[[#This Row],[Commercial Bid Price per case for NOI ($)]]+Table1437[[#This Row],[Region 2: Fixed Fee Per Case ($)]])/Table1437[[#This Row],['# of CN Servings per case]]</f>
        <v>#DIV/0!</v>
      </c>
      <c r="X104" s="82" t="e">
        <f>Table1437[[#This Row],[Total Cost Per Serving (O+Q)/J]]*Table1437[[#This Row],[Estimated Servings Annual]]</f>
        <v>#DIV/0!</v>
      </c>
    </row>
    <row r="105" spans="1:24" x14ac:dyDescent="0.35">
      <c r="A105" s="30" t="s">
        <v>37</v>
      </c>
      <c r="B105" s="12" t="s">
        <v>128</v>
      </c>
      <c r="C105" s="7" t="s">
        <v>13</v>
      </c>
      <c r="D105" s="7"/>
      <c r="E105" s="7"/>
      <c r="F105" s="7"/>
      <c r="G105" s="7"/>
      <c r="H105" s="7"/>
      <c r="I105" s="7"/>
      <c r="J105" s="7"/>
      <c r="K105" s="49">
        <v>50000</v>
      </c>
      <c r="L105" s="7"/>
      <c r="M105" s="7"/>
      <c r="N105" s="7"/>
      <c r="O105" s="7"/>
      <c r="P105" s="7"/>
      <c r="Q105" s="7"/>
      <c r="R105" s="7"/>
      <c r="S105" s="81">
        <f>(Table1437[[#This Row],[Commercial Bid Price per case for NOI ($)]]-Table1437[[#This Row],[Pass-Thru Value per case ($)]])+Table1437[[#This Row],[Region 1: Fixed Fee Per Case ($)]]</f>
        <v>0</v>
      </c>
      <c r="T105" s="77" t="e">
        <f>(Table1437[[#This Row],[Commercial Bid Price per case for NOI ($)]]+Table1437[[#This Row],[Region 1: Fixed Fee Per Case ($)]])/Table1437[[#This Row],['# of CN Servings per case]]</f>
        <v>#DIV/0!</v>
      </c>
      <c r="U105" s="77" t="e">
        <f>Table1437[[#This Row],[Total Cost Per Serving (O+P)/J]]*Table1437[[#This Row],[Estimated Servings Annual]]</f>
        <v>#DIV/0!</v>
      </c>
      <c r="V105" s="81">
        <f>(Table1437[[#This Row],[Commercial Bid Price per case for NOI ($)]]-Table1437[[#This Row],[Pass-Thru Value per case ($)]])+Table1437[[#This Row],[Region 2: Fixed Fee Per Case ($)]]</f>
        <v>0</v>
      </c>
      <c r="W105" s="77" t="e">
        <f>(Table1437[[#This Row],[Commercial Bid Price per case for NOI ($)]]+Table1437[[#This Row],[Region 2: Fixed Fee Per Case ($)]])/Table1437[[#This Row],['# of CN Servings per case]]</f>
        <v>#DIV/0!</v>
      </c>
      <c r="X105" s="82" t="e">
        <f>Table1437[[#This Row],[Total Cost Per Serving (O+Q)/J]]*Table1437[[#This Row],[Estimated Servings Annual]]</f>
        <v>#DIV/0!</v>
      </c>
    </row>
    <row r="106" spans="1:24" ht="15" thickBot="1" x14ac:dyDescent="0.4">
      <c r="A106" s="36" t="s">
        <v>37</v>
      </c>
      <c r="B106" s="13" t="s">
        <v>128</v>
      </c>
      <c r="C106" s="27" t="s">
        <v>13</v>
      </c>
      <c r="D106" s="8"/>
      <c r="E106" s="8"/>
      <c r="F106" s="8"/>
      <c r="G106" s="8"/>
      <c r="H106" s="8"/>
      <c r="I106" s="8"/>
      <c r="J106" s="8"/>
      <c r="K106" s="50">
        <v>50000</v>
      </c>
      <c r="L106" s="8"/>
      <c r="M106" s="8"/>
      <c r="N106" s="8"/>
      <c r="O106" s="8"/>
      <c r="P106" s="8"/>
      <c r="Q106" s="8"/>
      <c r="R106" s="8"/>
      <c r="S106" s="83">
        <f>(Table1437[[#This Row],[Commercial Bid Price per case for NOI ($)]]-Table1437[[#This Row],[Pass-Thru Value per case ($)]])+Table1437[[#This Row],[Region 1: Fixed Fee Per Case ($)]]</f>
        <v>0</v>
      </c>
      <c r="T106" s="78" t="e">
        <f>(Table1437[[#This Row],[Commercial Bid Price per case for NOI ($)]]+Table1437[[#This Row],[Region 1: Fixed Fee Per Case ($)]])/Table1437[[#This Row],['# of CN Servings per case]]</f>
        <v>#DIV/0!</v>
      </c>
      <c r="U106" s="78" t="e">
        <f>Table1437[[#This Row],[Total Cost Per Serving (O+P)/J]]*Table1437[[#This Row],[Estimated Servings Annual]]</f>
        <v>#DIV/0!</v>
      </c>
      <c r="V106" s="83">
        <f>(Table1437[[#This Row],[Commercial Bid Price per case for NOI ($)]]-Table1437[[#This Row],[Pass-Thru Value per case ($)]])+Table1437[[#This Row],[Region 2: Fixed Fee Per Case ($)]]</f>
        <v>0</v>
      </c>
      <c r="W106" s="78" t="e">
        <f>(Table1437[[#This Row],[Commercial Bid Price per case for NOI ($)]]+Table1437[[#This Row],[Region 2: Fixed Fee Per Case ($)]])/Table1437[[#This Row],['# of CN Servings per case]]</f>
        <v>#DIV/0!</v>
      </c>
      <c r="X106" s="84" t="e">
        <f>Table1437[[#This Row],[Total Cost Per Serving (O+Q)/J]]*Table1437[[#This Row],[Estimated Servings Annual]]</f>
        <v>#DIV/0!</v>
      </c>
    </row>
    <row r="107" spans="1:24" x14ac:dyDescent="0.35">
      <c r="A107" s="30" t="s">
        <v>37</v>
      </c>
      <c r="B107" s="11" t="s">
        <v>129</v>
      </c>
      <c r="C107" s="7" t="s">
        <v>52</v>
      </c>
      <c r="D107" s="6"/>
      <c r="E107" s="6"/>
      <c r="F107" s="6"/>
      <c r="G107" s="6"/>
      <c r="H107" s="6"/>
      <c r="I107" s="6"/>
      <c r="J107" s="6"/>
      <c r="K107" s="48">
        <v>100000</v>
      </c>
      <c r="L107" s="6"/>
      <c r="M107" s="6"/>
      <c r="N107" s="6"/>
      <c r="O107" s="6"/>
      <c r="P107" s="6"/>
      <c r="Q107" s="6"/>
      <c r="R107" s="6"/>
      <c r="S107" s="79">
        <f>(Table1437[[#This Row],[Commercial Bid Price per case for NOI ($)]]-Table1437[[#This Row],[Pass-Thru Value per case ($)]])+Table1437[[#This Row],[Region 1: Fixed Fee Per Case ($)]]</f>
        <v>0</v>
      </c>
      <c r="T107" s="76" t="e">
        <f>(Table1437[[#This Row],[Commercial Bid Price per case for NOI ($)]]+Table1437[[#This Row],[Region 1: Fixed Fee Per Case ($)]])/Table1437[[#This Row],['# of CN Servings per case]]</f>
        <v>#DIV/0!</v>
      </c>
      <c r="U107" s="76" t="e">
        <f>Table1437[[#This Row],[Total Cost Per Serving (O+P)/J]]*Table1437[[#This Row],[Estimated Servings Annual]]</f>
        <v>#DIV/0!</v>
      </c>
      <c r="V107" s="79">
        <f>(Table1437[[#This Row],[Commercial Bid Price per case for NOI ($)]]-Table1437[[#This Row],[Pass-Thru Value per case ($)]])+Table1437[[#This Row],[Region 2: Fixed Fee Per Case ($)]]</f>
        <v>0</v>
      </c>
      <c r="W107" s="76" t="e">
        <f>(Table1437[[#This Row],[Commercial Bid Price per case for NOI ($)]]+Table1437[[#This Row],[Region 2: Fixed Fee Per Case ($)]])/Table1437[[#This Row],['# of CN Servings per case]]</f>
        <v>#DIV/0!</v>
      </c>
      <c r="X107" s="80" t="e">
        <f>Table1437[[#This Row],[Total Cost Per Serving (O+Q)/J]]*Table1437[[#This Row],[Estimated Servings Annual]]</f>
        <v>#DIV/0!</v>
      </c>
    </row>
    <row r="108" spans="1:24" x14ac:dyDescent="0.35">
      <c r="A108" s="30" t="s">
        <v>37</v>
      </c>
      <c r="B108" s="12" t="s">
        <v>129</v>
      </c>
      <c r="C108" s="7" t="s">
        <v>52</v>
      </c>
      <c r="D108" s="7"/>
      <c r="E108" s="7"/>
      <c r="F108" s="7"/>
      <c r="G108" s="7"/>
      <c r="H108" s="7"/>
      <c r="I108" s="7"/>
      <c r="J108" s="7"/>
      <c r="K108" s="49">
        <v>100000</v>
      </c>
      <c r="L108" s="7"/>
      <c r="M108" s="7"/>
      <c r="N108" s="7"/>
      <c r="O108" s="7"/>
      <c r="P108" s="7"/>
      <c r="Q108" s="7"/>
      <c r="R108" s="7"/>
      <c r="S108" s="81">
        <f>(Table1437[[#This Row],[Commercial Bid Price per case for NOI ($)]]-Table1437[[#This Row],[Pass-Thru Value per case ($)]])+Table1437[[#This Row],[Region 1: Fixed Fee Per Case ($)]]</f>
        <v>0</v>
      </c>
      <c r="T108" s="77" t="e">
        <f>(Table1437[[#This Row],[Commercial Bid Price per case for NOI ($)]]+Table1437[[#This Row],[Region 1: Fixed Fee Per Case ($)]])/Table1437[[#This Row],['# of CN Servings per case]]</f>
        <v>#DIV/0!</v>
      </c>
      <c r="U108" s="77" t="e">
        <f>Table1437[[#This Row],[Total Cost Per Serving (O+P)/J]]*Table1437[[#This Row],[Estimated Servings Annual]]</f>
        <v>#DIV/0!</v>
      </c>
      <c r="V108" s="81">
        <f>(Table1437[[#This Row],[Commercial Bid Price per case for NOI ($)]]-Table1437[[#This Row],[Pass-Thru Value per case ($)]])+Table1437[[#This Row],[Region 2: Fixed Fee Per Case ($)]]</f>
        <v>0</v>
      </c>
      <c r="W108" s="77" t="e">
        <f>(Table1437[[#This Row],[Commercial Bid Price per case for NOI ($)]]+Table1437[[#This Row],[Region 2: Fixed Fee Per Case ($)]])/Table1437[[#This Row],['# of CN Servings per case]]</f>
        <v>#DIV/0!</v>
      </c>
      <c r="X108" s="82" t="e">
        <f>Table1437[[#This Row],[Total Cost Per Serving (O+Q)/J]]*Table1437[[#This Row],[Estimated Servings Annual]]</f>
        <v>#DIV/0!</v>
      </c>
    </row>
    <row r="109" spans="1:24" x14ac:dyDescent="0.35">
      <c r="A109" s="30" t="s">
        <v>37</v>
      </c>
      <c r="B109" s="12" t="s">
        <v>129</v>
      </c>
      <c r="C109" s="7" t="s">
        <v>13</v>
      </c>
      <c r="D109" s="7"/>
      <c r="E109" s="7"/>
      <c r="F109" s="7"/>
      <c r="G109" s="7"/>
      <c r="H109" s="7"/>
      <c r="I109" s="7"/>
      <c r="J109" s="7"/>
      <c r="K109" s="49">
        <v>100000</v>
      </c>
      <c r="L109" s="7"/>
      <c r="M109" s="7"/>
      <c r="N109" s="7"/>
      <c r="O109" s="7"/>
      <c r="P109" s="7"/>
      <c r="Q109" s="7"/>
      <c r="R109" s="7"/>
      <c r="S109" s="81">
        <f>(Table1437[[#This Row],[Commercial Bid Price per case for NOI ($)]]-Table1437[[#This Row],[Pass-Thru Value per case ($)]])+Table1437[[#This Row],[Region 1: Fixed Fee Per Case ($)]]</f>
        <v>0</v>
      </c>
      <c r="T109" s="77" t="e">
        <f>(Table1437[[#This Row],[Commercial Bid Price per case for NOI ($)]]+Table1437[[#This Row],[Region 1: Fixed Fee Per Case ($)]])/Table1437[[#This Row],['# of CN Servings per case]]</f>
        <v>#DIV/0!</v>
      </c>
      <c r="U109" s="77" t="e">
        <f>Table1437[[#This Row],[Total Cost Per Serving (O+P)/J]]*Table1437[[#This Row],[Estimated Servings Annual]]</f>
        <v>#DIV/0!</v>
      </c>
      <c r="V109" s="81">
        <f>(Table1437[[#This Row],[Commercial Bid Price per case for NOI ($)]]-Table1437[[#This Row],[Pass-Thru Value per case ($)]])+Table1437[[#This Row],[Region 2: Fixed Fee Per Case ($)]]</f>
        <v>0</v>
      </c>
      <c r="W109" s="77" t="e">
        <f>(Table1437[[#This Row],[Commercial Bid Price per case for NOI ($)]]+Table1437[[#This Row],[Region 2: Fixed Fee Per Case ($)]])/Table1437[[#This Row],['# of CN Servings per case]]</f>
        <v>#DIV/0!</v>
      </c>
      <c r="X109" s="82" t="e">
        <f>Table1437[[#This Row],[Total Cost Per Serving (O+Q)/J]]*Table1437[[#This Row],[Estimated Servings Annual]]</f>
        <v>#DIV/0!</v>
      </c>
    </row>
    <row r="110" spans="1:24" x14ac:dyDescent="0.35">
      <c r="A110" s="30" t="s">
        <v>37</v>
      </c>
      <c r="B110" s="12" t="s">
        <v>129</v>
      </c>
      <c r="C110" s="7" t="s">
        <v>13</v>
      </c>
      <c r="D110" s="7"/>
      <c r="E110" s="7"/>
      <c r="F110" s="7"/>
      <c r="G110" s="7"/>
      <c r="H110" s="7"/>
      <c r="I110" s="7"/>
      <c r="J110" s="7"/>
      <c r="K110" s="49">
        <v>100000</v>
      </c>
      <c r="L110" s="7"/>
      <c r="M110" s="7"/>
      <c r="N110" s="7"/>
      <c r="O110" s="7"/>
      <c r="P110" s="7"/>
      <c r="Q110" s="7"/>
      <c r="R110" s="7"/>
      <c r="S110" s="81">
        <f>(Table1437[[#This Row],[Commercial Bid Price per case for NOI ($)]]-Table1437[[#This Row],[Pass-Thru Value per case ($)]])+Table1437[[#This Row],[Region 1: Fixed Fee Per Case ($)]]</f>
        <v>0</v>
      </c>
      <c r="T110" s="77" t="e">
        <f>(Table1437[[#This Row],[Commercial Bid Price per case for NOI ($)]]+Table1437[[#This Row],[Region 1: Fixed Fee Per Case ($)]])/Table1437[[#This Row],['# of CN Servings per case]]</f>
        <v>#DIV/0!</v>
      </c>
      <c r="U110" s="77" t="e">
        <f>Table1437[[#This Row],[Total Cost Per Serving (O+P)/J]]*Table1437[[#This Row],[Estimated Servings Annual]]</f>
        <v>#DIV/0!</v>
      </c>
      <c r="V110" s="81">
        <f>(Table1437[[#This Row],[Commercial Bid Price per case for NOI ($)]]-Table1437[[#This Row],[Pass-Thru Value per case ($)]])+Table1437[[#This Row],[Region 2: Fixed Fee Per Case ($)]]</f>
        <v>0</v>
      </c>
      <c r="W110" s="77" t="e">
        <f>(Table1437[[#This Row],[Commercial Bid Price per case for NOI ($)]]+Table1437[[#This Row],[Region 2: Fixed Fee Per Case ($)]])/Table1437[[#This Row],['# of CN Servings per case]]</f>
        <v>#DIV/0!</v>
      </c>
      <c r="X110" s="82" t="e">
        <f>Table1437[[#This Row],[Total Cost Per Serving (O+Q)/J]]*Table1437[[#This Row],[Estimated Servings Annual]]</f>
        <v>#DIV/0!</v>
      </c>
    </row>
    <row r="111" spans="1:24" x14ac:dyDescent="0.35">
      <c r="A111" s="30" t="s">
        <v>37</v>
      </c>
      <c r="B111" s="12" t="s">
        <v>129</v>
      </c>
      <c r="C111" s="7" t="s">
        <v>13</v>
      </c>
      <c r="D111" s="7"/>
      <c r="E111" s="7"/>
      <c r="F111" s="7"/>
      <c r="G111" s="7"/>
      <c r="H111" s="7"/>
      <c r="I111" s="7"/>
      <c r="J111" s="7"/>
      <c r="K111" s="49">
        <v>100000</v>
      </c>
      <c r="L111" s="7"/>
      <c r="M111" s="7"/>
      <c r="N111" s="7"/>
      <c r="O111" s="7"/>
      <c r="P111" s="7"/>
      <c r="Q111" s="7"/>
      <c r="R111" s="7"/>
      <c r="S111" s="81">
        <f>(Table1437[[#This Row],[Commercial Bid Price per case for NOI ($)]]-Table1437[[#This Row],[Pass-Thru Value per case ($)]])+Table1437[[#This Row],[Region 1: Fixed Fee Per Case ($)]]</f>
        <v>0</v>
      </c>
      <c r="T111" s="77" t="e">
        <f>(Table1437[[#This Row],[Commercial Bid Price per case for NOI ($)]]+Table1437[[#This Row],[Region 1: Fixed Fee Per Case ($)]])/Table1437[[#This Row],['# of CN Servings per case]]</f>
        <v>#DIV/0!</v>
      </c>
      <c r="U111" s="77" t="e">
        <f>Table1437[[#This Row],[Total Cost Per Serving (O+P)/J]]*Table1437[[#This Row],[Estimated Servings Annual]]</f>
        <v>#DIV/0!</v>
      </c>
      <c r="V111" s="81">
        <f>(Table1437[[#This Row],[Commercial Bid Price per case for NOI ($)]]-Table1437[[#This Row],[Pass-Thru Value per case ($)]])+Table1437[[#This Row],[Region 2: Fixed Fee Per Case ($)]]</f>
        <v>0</v>
      </c>
      <c r="W111" s="77" t="e">
        <f>(Table1437[[#This Row],[Commercial Bid Price per case for NOI ($)]]+Table1437[[#This Row],[Region 2: Fixed Fee Per Case ($)]])/Table1437[[#This Row],['# of CN Servings per case]]</f>
        <v>#DIV/0!</v>
      </c>
      <c r="X111" s="82" t="e">
        <f>Table1437[[#This Row],[Total Cost Per Serving (O+Q)/J]]*Table1437[[#This Row],[Estimated Servings Annual]]</f>
        <v>#DIV/0!</v>
      </c>
    </row>
    <row r="112" spans="1:24" x14ac:dyDescent="0.35">
      <c r="A112" s="30" t="s">
        <v>37</v>
      </c>
      <c r="B112" s="12" t="s">
        <v>129</v>
      </c>
      <c r="C112" s="7" t="s">
        <v>13</v>
      </c>
      <c r="D112" s="7"/>
      <c r="E112" s="7"/>
      <c r="F112" s="7"/>
      <c r="G112" s="7"/>
      <c r="H112" s="7"/>
      <c r="I112" s="7"/>
      <c r="J112" s="7"/>
      <c r="K112" s="49">
        <v>100000</v>
      </c>
      <c r="L112" s="7"/>
      <c r="M112" s="7"/>
      <c r="N112" s="7"/>
      <c r="O112" s="7"/>
      <c r="P112" s="7"/>
      <c r="Q112" s="7"/>
      <c r="R112" s="7"/>
      <c r="S112" s="81">
        <f>(Table1437[[#This Row],[Commercial Bid Price per case for NOI ($)]]-Table1437[[#This Row],[Pass-Thru Value per case ($)]])+Table1437[[#This Row],[Region 1: Fixed Fee Per Case ($)]]</f>
        <v>0</v>
      </c>
      <c r="T112" s="77" t="e">
        <f>(Table1437[[#This Row],[Commercial Bid Price per case for NOI ($)]]+Table1437[[#This Row],[Region 1: Fixed Fee Per Case ($)]])/Table1437[[#This Row],['# of CN Servings per case]]</f>
        <v>#DIV/0!</v>
      </c>
      <c r="U112" s="77" t="e">
        <f>Table1437[[#This Row],[Total Cost Per Serving (O+P)/J]]*Table1437[[#This Row],[Estimated Servings Annual]]</f>
        <v>#DIV/0!</v>
      </c>
      <c r="V112" s="81">
        <f>(Table1437[[#This Row],[Commercial Bid Price per case for NOI ($)]]-Table1437[[#This Row],[Pass-Thru Value per case ($)]])+Table1437[[#This Row],[Region 2: Fixed Fee Per Case ($)]]</f>
        <v>0</v>
      </c>
      <c r="W112" s="77" t="e">
        <f>(Table1437[[#This Row],[Commercial Bid Price per case for NOI ($)]]+Table1437[[#This Row],[Region 2: Fixed Fee Per Case ($)]])/Table1437[[#This Row],['# of CN Servings per case]]</f>
        <v>#DIV/0!</v>
      </c>
      <c r="X112" s="82" t="e">
        <f>Table1437[[#This Row],[Total Cost Per Serving (O+Q)/J]]*Table1437[[#This Row],[Estimated Servings Annual]]</f>
        <v>#DIV/0!</v>
      </c>
    </row>
    <row r="113" spans="1:24" x14ac:dyDescent="0.35">
      <c r="A113" s="30" t="s">
        <v>37</v>
      </c>
      <c r="B113" s="12" t="s">
        <v>129</v>
      </c>
      <c r="C113" s="7" t="s">
        <v>13</v>
      </c>
      <c r="D113" s="7"/>
      <c r="E113" s="7"/>
      <c r="F113" s="7"/>
      <c r="G113" s="7"/>
      <c r="H113" s="7"/>
      <c r="I113" s="7"/>
      <c r="J113" s="7"/>
      <c r="K113" s="49">
        <v>100000</v>
      </c>
      <c r="L113" s="7"/>
      <c r="M113" s="7"/>
      <c r="N113" s="7"/>
      <c r="O113" s="7"/>
      <c r="P113" s="7"/>
      <c r="Q113" s="7"/>
      <c r="R113" s="7"/>
      <c r="S113" s="81">
        <f>(Table1437[[#This Row],[Commercial Bid Price per case for NOI ($)]]-Table1437[[#This Row],[Pass-Thru Value per case ($)]])+Table1437[[#This Row],[Region 1: Fixed Fee Per Case ($)]]</f>
        <v>0</v>
      </c>
      <c r="T113" s="77" t="e">
        <f>(Table1437[[#This Row],[Commercial Bid Price per case for NOI ($)]]+Table1437[[#This Row],[Region 1: Fixed Fee Per Case ($)]])/Table1437[[#This Row],['# of CN Servings per case]]</f>
        <v>#DIV/0!</v>
      </c>
      <c r="U113" s="77" t="e">
        <f>Table1437[[#This Row],[Total Cost Per Serving (O+P)/J]]*Table1437[[#This Row],[Estimated Servings Annual]]</f>
        <v>#DIV/0!</v>
      </c>
      <c r="V113" s="81">
        <f>(Table1437[[#This Row],[Commercial Bid Price per case for NOI ($)]]-Table1437[[#This Row],[Pass-Thru Value per case ($)]])+Table1437[[#This Row],[Region 2: Fixed Fee Per Case ($)]]</f>
        <v>0</v>
      </c>
      <c r="W113" s="77" t="e">
        <f>(Table1437[[#This Row],[Commercial Bid Price per case for NOI ($)]]+Table1437[[#This Row],[Region 2: Fixed Fee Per Case ($)]])/Table1437[[#This Row],['# of CN Servings per case]]</f>
        <v>#DIV/0!</v>
      </c>
      <c r="X113" s="82" t="e">
        <f>Table1437[[#This Row],[Total Cost Per Serving (O+Q)/J]]*Table1437[[#This Row],[Estimated Servings Annual]]</f>
        <v>#DIV/0!</v>
      </c>
    </row>
    <row r="114" spans="1:24" ht="15" thickBot="1" x14ac:dyDescent="0.4">
      <c r="A114" s="36" t="s">
        <v>37</v>
      </c>
      <c r="B114" s="13" t="s">
        <v>129</v>
      </c>
      <c r="C114" s="8" t="s">
        <v>13</v>
      </c>
      <c r="D114" s="8"/>
      <c r="E114" s="8"/>
      <c r="F114" s="8"/>
      <c r="G114" s="8"/>
      <c r="H114" s="8"/>
      <c r="I114" s="8"/>
      <c r="J114" s="8"/>
      <c r="K114" s="50">
        <v>100000</v>
      </c>
      <c r="L114" s="8"/>
      <c r="M114" s="8"/>
      <c r="N114" s="8"/>
      <c r="O114" s="8"/>
      <c r="P114" s="8"/>
      <c r="Q114" s="8"/>
      <c r="R114" s="8"/>
      <c r="S114" s="83">
        <f>(Table1437[[#This Row],[Commercial Bid Price per case for NOI ($)]]-Table1437[[#This Row],[Pass-Thru Value per case ($)]])+Table1437[[#This Row],[Region 1: Fixed Fee Per Case ($)]]</f>
        <v>0</v>
      </c>
      <c r="T114" s="78" t="e">
        <f>(Table1437[[#This Row],[Commercial Bid Price per case for NOI ($)]]+Table1437[[#This Row],[Region 1: Fixed Fee Per Case ($)]])/Table1437[[#This Row],['# of CN Servings per case]]</f>
        <v>#DIV/0!</v>
      </c>
      <c r="U114" s="78" t="e">
        <f>Table1437[[#This Row],[Total Cost Per Serving (O+P)/J]]*Table1437[[#This Row],[Estimated Servings Annual]]</f>
        <v>#DIV/0!</v>
      </c>
      <c r="V114" s="83">
        <f>(Table1437[[#This Row],[Commercial Bid Price per case for NOI ($)]]-Table1437[[#This Row],[Pass-Thru Value per case ($)]])+Table1437[[#This Row],[Region 2: Fixed Fee Per Case ($)]]</f>
        <v>0</v>
      </c>
      <c r="W114" s="78" t="e">
        <f>(Table1437[[#This Row],[Commercial Bid Price per case for NOI ($)]]+Table1437[[#This Row],[Region 2: Fixed Fee Per Case ($)]])/Table1437[[#This Row],['# of CN Servings per case]]</f>
        <v>#DIV/0!</v>
      </c>
      <c r="X114" s="84" t="e">
        <f>Table1437[[#This Row],[Total Cost Per Serving (O+Q)/J]]*Table1437[[#This Row],[Estimated Servings Annual]]</f>
        <v>#DIV/0!</v>
      </c>
    </row>
    <row r="115" spans="1:24" x14ac:dyDescent="0.35">
      <c r="A115" s="30" t="s">
        <v>37</v>
      </c>
      <c r="B115" s="11" t="s">
        <v>69</v>
      </c>
      <c r="C115" s="6" t="s">
        <v>51</v>
      </c>
      <c r="D115" s="6"/>
      <c r="E115" s="6"/>
      <c r="F115" s="6"/>
      <c r="G115" s="6"/>
      <c r="H115" s="6"/>
      <c r="I115" s="6"/>
      <c r="J115" s="6"/>
      <c r="K115" s="48">
        <v>500000</v>
      </c>
      <c r="L115" s="6"/>
      <c r="M115" s="6"/>
      <c r="N115" s="6"/>
      <c r="O115" s="6"/>
      <c r="P115" s="6"/>
      <c r="Q115" s="6"/>
      <c r="R115" s="6"/>
      <c r="S115" s="79">
        <f>(Table1437[[#This Row],[Commercial Bid Price per case for NOI ($)]]-Table1437[[#This Row],[Pass-Thru Value per case ($)]])+Table1437[[#This Row],[Region 1: Fixed Fee Per Case ($)]]</f>
        <v>0</v>
      </c>
      <c r="T115" s="76" t="e">
        <f>(Table1437[[#This Row],[Commercial Bid Price per case for NOI ($)]]+Table1437[[#This Row],[Region 1: Fixed Fee Per Case ($)]])/Table1437[[#This Row],['# of CN Servings per case]]</f>
        <v>#DIV/0!</v>
      </c>
      <c r="U115" s="76" t="e">
        <f>Table1437[[#This Row],[Total Cost Per Serving (O+P)/J]]*Table1437[[#This Row],[Estimated Servings Annual]]</f>
        <v>#DIV/0!</v>
      </c>
      <c r="V115" s="79">
        <f>(Table1437[[#This Row],[Commercial Bid Price per case for NOI ($)]]-Table1437[[#This Row],[Pass-Thru Value per case ($)]])+Table1437[[#This Row],[Region 2: Fixed Fee Per Case ($)]]</f>
        <v>0</v>
      </c>
      <c r="W115" s="76" t="e">
        <f>(Table1437[[#This Row],[Commercial Bid Price per case for NOI ($)]]+Table1437[[#This Row],[Region 2: Fixed Fee Per Case ($)]])/Table1437[[#This Row],['# of CN Servings per case]]</f>
        <v>#DIV/0!</v>
      </c>
      <c r="X115" s="80" t="e">
        <f>Table1437[[#This Row],[Total Cost Per Serving (O+Q)/J]]*Table1437[[#This Row],[Estimated Servings Annual]]</f>
        <v>#DIV/0!</v>
      </c>
    </row>
    <row r="116" spans="1:24" x14ac:dyDescent="0.35">
      <c r="A116" s="30" t="s">
        <v>37</v>
      </c>
      <c r="B116" s="12" t="s">
        <v>69</v>
      </c>
      <c r="C116" s="7" t="s">
        <v>51</v>
      </c>
      <c r="D116" s="7"/>
      <c r="E116" s="7"/>
      <c r="F116" s="7"/>
      <c r="G116" s="7"/>
      <c r="H116" s="7"/>
      <c r="I116" s="7"/>
      <c r="J116" s="7"/>
      <c r="K116" s="49">
        <v>500000</v>
      </c>
      <c r="L116" s="7"/>
      <c r="M116" s="7"/>
      <c r="N116" s="7"/>
      <c r="O116" s="7"/>
      <c r="P116" s="7"/>
      <c r="Q116" s="7"/>
      <c r="R116" s="7"/>
      <c r="S116" s="81">
        <f>(Table1437[[#This Row],[Commercial Bid Price per case for NOI ($)]]-Table1437[[#This Row],[Pass-Thru Value per case ($)]])+Table1437[[#This Row],[Region 1: Fixed Fee Per Case ($)]]</f>
        <v>0</v>
      </c>
      <c r="T116" s="77" t="e">
        <f>(Table1437[[#This Row],[Commercial Bid Price per case for NOI ($)]]+Table1437[[#This Row],[Region 1: Fixed Fee Per Case ($)]])/Table1437[[#This Row],['# of CN Servings per case]]</f>
        <v>#DIV/0!</v>
      </c>
      <c r="U116" s="77" t="e">
        <f>Table1437[[#This Row],[Total Cost Per Serving (O+P)/J]]*Table1437[[#This Row],[Estimated Servings Annual]]</f>
        <v>#DIV/0!</v>
      </c>
      <c r="V116" s="81">
        <f>(Table1437[[#This Row],[Commercial Bid Price per case for NOI ($)]]-Table1437[[#This Row],[Pass-Thru Value per case ($)]])+Table1437[[#This Row],[Region 2: Fixed Fee Per Case ($)]]</f>
        <v>0</v>
      </c>
      <c r="W116" s="77" t="e">
        <f>(Table1437[[#This Row],[Commercial Bid Price per case for NOI ($)]]+Table1437[[#This Row],[Region 2: Fixed Fee Per Case ($)]])/Table1437[[#This Row],['# of CN Servings per case]]</f>
        <v>#DIV/0!</v>
      </c>
      <c r="X116" s="82" t="e">
        <f>Table1437[[#This Row],[Total Cost Per Serving (O+Q)/J]]*Table1437[[#This Row],[Estimated Servings Annual]]</f>
        <v>#DIV/0!</v>
      </c>
    </row>
    <row r="117" spans="1:24" x14ac:dyDescent="0.35">
      <c r="A117" s="30" t="s">
        <v>37</v>
      </c>
      <c r="B117" s="12" t="s">
        <v>69</v>
      </c>
      <c r="C117" s="7" t="s">
        <v>52</v>
      </c>
      <c r="D117" s="7"/>
      <c r="E117" s="7"/>
      <c r="F117" s="7"/>
      <c r="G117" s="7"/>
      <c r="H117" s="7"/>
      <c r="I117" s="7"/>
      <c r="J117" s="7"/>
      <c r="K117" s="49">
        <v>500000</v>
      </c>
      <c r="L117" s="7"/>
      <c r="M117" s="7"/>
      <c r="N117" s="7"/>
      <c r="O117" s="7"/>
      <c r="P117" s="7"/>
      <c r="Q117" s="7"/>
      <c r="R117" s="7"/>
      <c r="S117" s="81">
        <f>(Table1437[[#This Row],[Commercial Bid Price per case for NOI ($)]]-Table1437[[#This Row],[Pass-Thru Value per case ($)]])+Table1437[[#This Row],[Region 1: Fixed Fee Per Case ($)]]</f>
        <v>0</v>
      </c>
      <c r="T117" s="77" t="e">
        <f>(Table1437[[#This Row],[Commercial Bid Price per case for NOI ($)]]+Table1437[[#This Row],[Region 1: Fixed Fee Per Case ($)]])/Table1437[[#This Row],['# of CN Servings per case]]</f>
        <v>#DIV/0!</v>
      </c>
      <c r="U117" s="77" t="e">
        <f>Table1437[[#This Row],[Total Cost Per Serving (O+P)/J]]*Table1437[[#This Row],[Estimated Servings Annual]]</f>
        <v>#DIV/0!</v>
      </c>
      <c r="V117" s="81">
        <f>(Table1437[[#This Row],[Commercial Bid Price per case for NOI ($)]]-Table1437[[#This Row],[Pass-Thru Value per case ($)]])+Table1437[[#This Row],[Region 2: Fixed Fee Per Case ($)]]</f>
        <v>0</v>
      </c>
      <c r="W117" s="77" t="e">
        <f>(Table1437[[#This Row],[Commercial Bid Price per case for NOI ($)]]+Table1437[[#This Row],[Region 2: Fixed Fee Per Case ($)]])/Table1437[[#This Row],['# of CN Servings per case]]</f>
        <v>#DIV/0!</v>
      </c>
      <c r="X117" s="82" t="e">
        <f>Table1437[[#This Row],[Total Cost Per Serving (O+Q)/J]]*Table1437[[#This Row],[Estimated Servings Annual]]</f>
        <v>#DIV/0!</v>
      </c>
    </row>
    <row r="118" spans="1:24" x14ac:dyDescent="0.35">
      <c r="A118" s="30" t="s">
        <v>37</v>
      </c>
      <c r="B118" s="12" t="s">
        <v>69</v>
      </c>
      <c r="C118" s="7" t="s">
        <v>52</v>
      </c>
      <c r="D118" s="7"/>
      <c r="E118" s="7"/>
      <c r="F118" s="7"/>
      <c r="G118" s="7"/>
      <c r="H118" s="7"/>
      <c r="I118" s="7"/>
      <c r="J118" s="7"/>
      <c r="K118" s="49">
        <v>500000</v>
      </c>
      <c r="L118" s="7"/>
      <c r="M118" s="7"/>
      <c r="N118" s="7"/>
      <c r="O118" s="7"/>
      <c r="P118" s="7"/>
      <c r="Q118" s="7"/>
      <c r="R118" s="7"/>
      <c r="S118" s="81">
        <f>(Table1437[[#This Row],[Commercial Bid Price per case for NOI ($)]]-Table1437[[#This Row],[Pass-Thru Value per case ($)]])+Table1437[[#This Row],[Region 1: Fixed Fee Per Case ($)]]</f>
        <v>0</v>
      </c>
      <c r="T118" s="77" t="e">
        <f>(Table1437[[#This Row],[Commercial Bid Price per case for NOI ($)]]+Table1437[[#This Row],[Region 1: Fixed Fee Per Case ($)]])/Table1437[[#This Row],['# of CN Servings per case]]</f>
        <v>#DIV/0!</v>
      </c>
      <c r="U118" s="77" t="e">
        <f>Table1437[[#This Row],[Total Cost Per Serving (O+P)/J]]*Table1437[[#This Row],[Estimated Servings Annual]]</f>
        <v>#DIV/0!</v>
      </c>
      <c r="V118" s="81">
        <f>(Table1437[[#This Row],[Commercial Bid Price per case for NOI ($)]]-Table1437[[#This Row],[Pass-Thru Value per case ($)]])+Table1437[[#This Row],[Region 2: Fixed Fee Per Case ($)]]</f>
        <v>0</v>
      </c>
      <c r="W118" s="77" t="e">
        <f>(Table1437[[#This Row],[Commercial Bid Price per case for NOI ($)]]+Table1437[[#This Row],[Region 2: Fixed Fee Per Case ($)]])/Table1437[[#This Row],['# of CN Servings per case]]</f>
        <v>#DIV/0!</v>
      </c>
      <c r="X118" s="82" t="e">
        <f>Table1437[[#This Row],[Total Cost Per Serving (O+Q)/J]]*Table1437[[#This Row],[Estimated Servings Annual]]</f>
        <v>#DIV/0!</v>
      </c>
    </row>
    <row r="119" spans="1:24" x14ac:dyDescent="0.35">
      <c r="A119" s="30" t="s">
        <v>37</v>
      </c>
      <c r="B119" s="12" t="s">
        <v>69</v>
      </c>
      <c r="C119" s="7" t="s">
        <v>13</v>
      </c>
      <c r="D119" s="7"/>
      <c r="E119" s="7"/>
      <c r="F119" s="7"/>
      <c r="G119" s="7"/>
      <c r="H119" s="7"/>
      <c r="I119" s="7"/>
      <c r="J119" s="7"/>
      <c r="K119" s="49">
        <v>500000</v>
      </c>
      <c r="L119" s="7"/>
      <c r="M119" s="7"/>
      <c r="N119" s="7"/>
      <c r="O119" s="7"/>
      <c r="P119" s="7"/>
      <c r="Q119" s="7"/>
      <c r="R119" s="7"/>
      <c r="S119" s="81">
        <f>(Table1437[[#This Row],[Commercial Bid Price per case for NOI ($)]]-Table1437[[#This Row],[Pass-Thru Value per case ($)]])+Table1437[[#This Row],[Region 1: Fixed Fee Per Case ($)]]</f>
        <v>0</v>
      </c>
      <c r="T119" s="77" t="e">
        <f>(Table1437[[#This Row],[Commercial Bid Price per case for NOI ($)]]+Table1437[[#This Row],[Region 1: Fixed Fee Per Case ($)]])/Table1437[[#This Row],['# of CN Servings per case]]</f>
        <v>#DIV/0!</v>
      </c>
      <c r="U119" s="77" t="e">
        <f>Table1437[[#This Row],[Total Cost Per Serving (O+P)/J]]*Table1437[[#This Row],[Estimated Servings Annual]]</f>
        <v>#DIV/0!</v>
      </c>
      <c r="V119" s="81">
        <f>(Table1437[[#This Row],[Commercial Bid Price per case for NOI ($)]]-Table1437[[#This Row],[Pass-Thru Value per case ($)]])+Table1437[[#This Row],[Region 2: Fixed Fee Per Case ($)]]</f>
        <v>0</v>
      </c>
      <c r="W119" s="77" t="e">
        <f>(Table1437[[#This Row],[Commercial Bid Price per case for NOI ($)]]+Table1437[[#This Row],[Region 2: Fixed Fee Per Case ($)]])/Table1437[[#This Row],['# of CN Servings per case]]</f>
        <v>#DIV/0!</v>
      </c>
      <c r="X119" s="82" t="e">
        <f>Table1437[[#This Row],[Total Cost Per Serving (O+Q)/J]]*Table1437[[#This Row],[Estimated Servings Annual]]</f>
        <v>#DIV/0!</v>
      </c>
    </row>
    <row r="120" spans="1:24" x14ac:dyDescent="0.35">
      <c r="A120" s="30" t="s">
        <v>37</v>
      </c>
      <c r="B120" s="12" t="s">
        <v>69</v>
      </c>
      <c r="C120" s="7" t="s">
        <v>13</v>
      </c>
      <c r="D120" s="7"/>
      <c r="E120" s="7"/>
      <c r="F120" s="7"/>
      <c r="G120" s="7"/>
      <c r="H120" s="7"/>
      <c r="I120" s="7"/>
      <c r="J120" s="7"/>
      <c r="K120" s="49">
        <v>500000</v>
      </c>
      <c r="L120" s="7"/>
      <c r="M120" s="7"/>
      <c r="N120" s="7"/>
      <c r="O120" s="7"/>
      <c r="P120" s="7"/>
      <c r="Q120" s="7"/>
      <c r="R120" s="7"/>
      <c r="S120" s="81">
        <f>(Table1437[[#This Row],[Commercial Bid Price per case for NOI ($)]]-Table1437[[#This Row],[Pass-Thru Value per case ($)]])+Table1437[[#This Row],[Region 1: Fixed Fee Per Case ($)]]</f>
        <v>0</v>
      </c>
      <c r="T120" s="77" t="e">
        <f>(Table1437[[#This Row],[Commercial Bid Price per case for NOI ($)]]+Table1437[[#This Row],[Region 1: Fixed Fee Per Case ($)]])/Table1437[[#This Row],['# of CN Servings per case]]</f>
        <v>#DIV/0!</v>
      </c>
      <c r="U120" s="77" t="e">
        <f>Table1437[[#This Row],[Total Cost Per Serving (O+P)/J]]*Table1437[[#This Row],[Estimated Servings Annual]]</f>
        <v>#DIV/0!</v>
      </c>
      <c r="V120" s="81">
        <f>(Table1437[[#This Row],[Commercial Bid Price per case for NOI ($)]]-Table1437[[#This Row],[Pass-Thru Value per case ($)]])+Table1437[[#This Row],[Region 2: Fixed Fee Per Case ($)]]</f>
        <v>0</v>
      </c>
      <c r="W120" s="77" t="e">
        <f>(Table1437[[#This Row],[Commercial Bid Price per case for NOI ($)]]+Table1437[[#This Row],[Region 2: Fixed Fee Per Case ($)]])/Table1437[[#This Row],['# of CN Servings per case]]</f>
        <v>#DIV/0!</v>
      </c>
      <c r="X120" s="82" t="e">
        <f>Table1437[[#This Row],[Total Cost Per Serving (O+Q)/J]]*Table1437[[#This Row],[Estimated Servings Annual]]</f>
        <v>#DIV/0!</v>
      </c>
    </row>
    <row r="121" spans="1:24" x14ac:dyDescent="0.35">
      <c r="A121" s="30" t="s">
        <v>37</v>
      </c>
      <c r="B121" s="12" t="s">
        <v>69</v>
      </c>
      <c r="C121" s="7" t="s">
        <v>13</v>
      </c>
      <c r="D121" s="7"/>
      <c r="E121" s="7"/>
      <c r="F121" s="7"/>
      <c r="G121" s="7"/>
      <c r="H121" s="7"/>
      <c r="I121" s="7"/>
      <c r="J121" s="7"/>
      <c r="K121" s="49">
        <v>500000</v>
      </c>
      <c r="L121" s="7"/>
      <c r="M121" s="7"/>
      <c r="N121" s="7"/>
      <c r="O121" s="7"/>
      <c r="P121" s="7"/>
      <c r="Q121" s="7"/>
      <c r="R121" s="7"/>
      <c r="S121" s="81">
        <f>(Table1437[[#This Row],[Commercial Bid Price per case for NOI ($)]]-Table1437[[#This Row],[Pass-Thru Value per case ($)]])+Table1437[[#This Row],[Region 1: Fixed Fee Per Case ($)]]</f>
        <v>0</v>
      </c>
      <c r="T121" s="77" t="e">
        <f>(Table1437[[#This Row],[Commercial Bid Price per case for NOI ($)]]+Table1437[[#This Row],[Region 1: Fixed Fee Per Case ($)]])/Table1437[[#This Row],['# of CN Servings per case]]</f>
        <v>#DIV/0!</v>
      </c>
      <c r="U121" s="77" t="e">
        <f>Table1437[[#This Row],[Total Cost Per Serving (O+P)/J]]*Table1437[[#This Row],[Estimated Servings Annual]]</f>
        <v>#DIV/0!</v>
      </c>
      <c r="V121" s="81">
        <f>(Table1437[[#This Row],[Commercial Bid Price per case for NOI ($)]]-Table1437[[#This Row],[Pass-Thru Value per case ($)]])+Table1437[[#This Row],[Region 2: Fixed Fee Per Case ($)]]</f>
        <v>0</v>
      </c>
      <c r="W121" s="77" t="e">
        <f>(Table1437[[#This Row],[Commercial Bid Price per case for NOI ($)]]+Table1437[[#This Row],[Region 2: Fixed Fee Per Case ($)]])/Table1437[[#This Row],['# of CN Servings per case]]</f>
        <v>#DIV/0!</v>
      </c>
      <c r="X121" s="82" t="e">
        <f>Table1437[[#This Row],[Total Cost Per Serving (O+Q)/J]]*Table1437[[#This Row],[Estimated Servings Annual]]</f>
        <v>#DIV/0!</v>
      </c>
    </row>
    <row r="122" spans="1:24" ht="15" thickBot="1" x14ac:dyDescent="0.4">
      <c r="A122" s="36" t="s">
        <v>37</v>
      </c>
      <c r="B122" s="13" t="s">
        <v>69</v>
      </c>
      <c r="C122" s="8" t="s">
        <v>13</v>
      </c>
      <c r="D122" s="8"/>
      <c r="E122" s="8"/>
      <c r="F122" s="8"/>
      <c r="G122" s="8"/>
      <c r="H122" s="8"/>
      <c r="I122" s="8"/>
      <c r="J122" s="8"/>
      <c r="K122" s="50">
        <v>500000</v>
      </c>
      <c r="L122" s="8"/>
      <c r="M122" s="8"/>
      <c r="N122" s="8"/>
      <c r="O122" s="8"/>
      <c r="P122" s="8"/>
      <c r="Q122" s="8"/>
      <c r="R122" s="8"/>
      <c r="S122" s="83">
        <f>(Table1437[[#This Row],[Commercial Bid Price per case for NOI ($)]]-Table1437[[#This Row],[Pass-Thru Value per case ($)]])+Table1437[[#This Row],[Region 1: Fixed Fee Per Case ($)]]</f>
        <v>0</v>
      </c>
      <c r="T122" s="78" t="e">
        <f>(Table1437[[#This Row],[Commercial Bid Price per case for NOI ($)]]+Table1437[[#This Row],[Region 1: Fixed Fee Per Case ($)]])/Table1437[[#This Row],['# of CN Servings per case]]</f>
        <v>#DIV/0!</v>
      </c>
      <c r="U122" s="78" t="e">
        <f>Table1437[[#This Row],[Total Cost Per Serving (O+P)/J]]*Table1437[[#This Row],[Estimated Servings Annual]]</f>
        <v>#DIV/0!</v>
      </c>
      <c r="V122" s="83">
        <f>(Table1437[[#This Row],[Commercial Bid Price per case for NOI ($)]]-Table1437[[#This Row],[Pass-Thru Value per case ($)]])+Table1437[[#This Row],[Region 2: Fixed Fee Per Case ($)]]</f>
        <v>0</v>
      </c>
      <c r="W122" s="78" t="e">
        <f>(Table1437[[#This Row],[Commercial Bid Price per case for NOI ($)]]+Table1437[[#This Row],[Region 2: Fixed Fee Per Case ($)]])/Table1437[[#This Row],['# of CN Servings per case]]</f>
        <v>#DIV/0!</v>
      </c>
      <c r="X122" s="84" t="e">
        <f>Table1437[[#This Row],[Total Cost Per Serving (O+Q)/J]]*Table1437[[#This Row],[Estimated Servings Annual]]</f>
        <v>#DIV/0!</v>
      </c>
    </row>
    <row r="123" spans="1:24" x14ac:dyDescent="0.35">
      <c r="A123" s="30" t="s">
        <v>37</v>
      </c>
      <c r="B123" s="11" t="s">
        <v>55</v>
      </c>
      <c r="C123" s="6" t="s">
        <v>118</v>
      </c>
      <c r="D123" s="6"/>
      <c r="E123" s="6"/>
      <c r="F123" s="6"/>
      <c r="G123" s="6"/>
      <c r="H123" s="6"/>
      <c r="I123" s="6"/>
      <c r="J123" s="6"/>
      <c r="K123" s="48">
        <v>600000</v>
      </c>
      <c r="L123" s="6"/>
      <c r="M123" s="6"/>
      <c r="N123" s="6"/>
      <c r="O123" s="6"/>
      <c r="P123" s="6"/>
      <c r="Q123" s="6"/>
      <c r="R123" s="6"/>
      <c r="S123" s="79">
        <f>(Table1437[[#This Row],[Commercial Bid Price per case for NOI ($)]]-Table1437[[#This Row],[Pass-Thru Value per case ($)]])+Table1437[[#This Row],[Region 1: Fixed Fee Per Case ($)]]</f>
        <v>0</v>
      </c>
      <c r="T123" s="76" t="e">
        <f>(Table1437[[#This Row],[Commercial Bid Price per case for NOI ($)]]+Table1437[[#This Row],[Region 1: Fixed Fee Per Case ($)]])/Table1437[[#This Row],['# of CN Servings per case]]</f>
        <v>#DIV/0!</v>
      </c>
      <c r="U123" s="76" t="e">
        <f>Table1437[[#This Row],[Total Cost Per Serving (O+P)/J]]*Table1437[[#This Row],[Estimated Servings Annual]]</f>
        <v>#DIV/0!</v>
      </c>
      <c r="V123" s="79">
        <f>(Table1437[[#This Row],[Commercial Bid Price per case for NOI ($)]]-Table1437[[#This Row],[Pass-Thru Value per case ($)]])+Table1437[[#This Row],[Region 2: Fixed Fee Per Case ($)]]</f>
        <v>0</v>
      </c>
      <c r="W123" s="76" t="e">
        <f>(Table1437[[#This Row],[Commercial Bid Price per case for NOI ($)]]+Table1437[[#This Row],[Region 2: Fixed Fee Per Case ($)]])/Table1437[[#This Row],['# of CN Servings per case]]</f>
        <v>#DIV/0!</v>
      </c>
      <c r="X123" s="80" t="e">
        <f>Table1437[[#This Row],[Total Cost Per Serving (O+Q)/J]]*Table1437[[#This Row],[Estimated Servings Annual]]</f>
        <v>#DIV/0!</v>
      </c>
    </row>
    <row r="124" spans="1:24" x14ac:dyDescent="0.35">
      <c r="A124" s="30" t="s">
        <v>37</v>
      </c>
      <c r="B124" s="12" t="s">
        <v>55</v>
      </c>
      <c r="C124" s="7" t="s">
        <v>118</v>
      </c>
      <c r="D124" s="7"/>
      <c r="E124" s="7"/>
      <c r="F124" s="7"/>
      <c r="G124" s="7"/>
      <c r="H124" s="7"/>
      <c r="I124" s="7"/>
      <c r="J124" s="7"/>
      <c r="K124" s="49">
        <v>600000</v>
      </c>
      <c r="L124" s="7"/>
      <c r="M124" s="7"/>
      <c r="N124" s="7"/>
      <c r="O124" s="7"/>
      <c r="P124" s="7"/>
      <c r="Q124" s="7"/>
      <c r="R124" s="7"/>
      <c r="S124" s="81">
        <f>(Table1437[[#This Row],[Commercial Bid Price per case for NOI ($)]]-Table1437[[#This Row],[Pass-Thru Value per case ($)]])+Table1437[[#This Row],[Region 1: Fixed Fee Per Case ($)]]</f>
        <v>0</v>
      </c>
      <c r="T124" s="77" t="e">
        <f>(Table1437[[#This Row],[Commercial Bid Price per case for NOI ($)]]+Table1437[[#This Row],[Region 1: Fixed Fee Per Case ($)]])/Table1437[[#This Row],['# of CN Servings per case]]</f>
        <v>#DIV/0!</v>
      </c>
      <c r="U124" s="77" t="e">
        <f>Table1437[[#This Row],[Total Cost Per Serving (O+P)/J]]*Table1437[[#This Row],[Estimated Servings Annual]]</f>
        <v>#DIV/0!</v>
      </c>
      <c r="V124" s="81">
        <f>(Table1437[[#This Row],[Commercial Bid Price per case for NOI ($)]]-Table1437[[#This Row],[Pass-Thru Value per case ($)]])+Table1437[[#This Row],[Region 2: Fixed Fee Per Case ($)]]</f>
        <v>0</v>
      </c>
      <c r="W124" s="77" t="e">
        <f>(Table1437[[#This Row],[Commercial Bid Price per case for NOI ($)]]+Table1437[[#This Row],[Region 2: Fixed Fee Per Case ($)]])/Table1437[[#This Row],['# of CN Servings per case]]</f>
        <v>#DIV/0!</v>
      </c>
      <c r="X124" s="82" t="e">
        <f>Table1437[[#This Row],[Total Cost Per Serving (O+Q)/J]]*Table1437[[#This Row],[Estimated Servings Annual]]</f>
        <v>#DIV/0!</v>
      </c>
    </row>
    <row r="125" spans="1:24" x14ac:dyDescent="0.35">
      <c r="A125" s="30" t="s">
        <v>37</v>
      </c>
      <c r="B125" s="12" t="s">
        <v>55</v>
      </c>
      <c r="C125" s="7" t="s">
        <v>50</v>
      </c>
      <c r="D125" s="7"/>
      <c r="E125" s="7"/>
      <c r="F125" s="7"/>
      <c r="G125" s="7"/>
      <c r="H125" s="7"/>
      <c r="I125" s="7"/>
      <c r="J125" s="7"/>
      <c r="K125" s="49">
        <v>600000</v>
      </c>
      <c r="L125" s="7"/>
      <c r="M125" s="7"/>
      <c r="N125" s="7"/>
      <c r="O125" s="7"/>
      <c r="P125" s="7"/>
      <c r="Q125" s="7"/>
      <c r="R125" s="7"/>
      <c r="S125" s="81">
        <f>(Table1437[[#This Row],[Commercial Bid Price per case for NOI ($)]]-Table1437[[#This Row],[Pass-Thru Value per case ($)]])+Table1437[[#This Row],[Region 1: Fixed Fee Per Case ($)]]</f>
        <v>0</v>
      </c>
      <c r="T125" s="77" t="e">
        <f>(Table1437[[#This Row],[Commercial Bid Price per case for NOI ($)]]+Table1437[[#This Row],[Region 1: Fixed Fee Per Case ($)]])/Table1437[[#This Row],['# of CN Servings per case]]</f>
        <v>#DIV/0!</v>
      </c>
      <c r="U125" s="77" t="e">
        <f>Table1437[[#This Row],[Total Cost Per Serving (O+P)/J]]*Table1437[[#This Row],[Estimated Servings Annual]]</f>
        <v>#DIV/0!</v>
      </c>
      <c r="V125" s="81">
        <f>(Table1437[[#This Row],[Commercial Bid Price per case for NOI ($)]]-Table1437[[#This Row],[Pass-Thru Value per case ($)]])+Table1437[[#This Row],[Region 2: Fixed Fee Per Case ($)]]</f>
        <v>0</v>
      </c>
      <c r="W125" s="77" t="e">
        <f>(Table1437[[#This Row],[Commercial Bid Price per case for NOI ($)]]+Table1437[[#This Row],[Region 2: Fixed Fee Per Case ($)]])/Table1437[[#This Row],['# of CN Servings per case]]</f>
        <v>#DIV/0!</v>
      </c>
      <c r="X125" s="82" t="e">
        <f>Table1437[[#This Row],[Total Cost Per Serving (O+Q)/J]]*Table1437[[#This Row],[Estimated Servings Annual]]</f>
        <v>#DIV/0!</v>
      </c>
    </row>
    <row r="126" spans="1:24" x14ac:dyDescent="0.35">
      <c r="A126" s="30" t="s">
        <v>37</v>
      </c>
      <c r="B126" s="12" t="s">
        <v>55</v>
      </c>
      <c r="C126" s="7" t="s">
        <v>50</v>
      </c>
      <c r="D126" s="7"/>
      <c r="E126" s="7"/>
      <c r="F126" s="7"/>
      <c r="G126" s="7"/>
      <c r="H126" s="7"/>
      <c r="I126" s="7"/>
      <c r="J126" s="7"/>
      <c r="K126" s="49">
        <v>600000</v>
      </c>
      <c r="L126" s="7"/>
      <c r="M126" s="7"/>
      <c r="N126" s="7"/>
      <c r="O126" s="7"/>
      <c r="P126" s="7"/>
      <c r="Q126" s="7"/>
      <c r="R126" s="7"/>
      <c r="S126" s="81">
        <f>(Table1437[[#This Row],[Commercial Bid Price per case for NOI ($)]]-Table1437[[#This Row],[Pass-Thru Value per case ($)]])+Table1437[[#This Row],[Region 1: Fixed Fee Per Case ($)]]</f>
        <v>0</v>
      </c>
      <c r="T126" s="77" t="e">
        <f>(Table1437[[#This Row],[Commercial Bid Price per case for NOI ($)]]+Table1437[[#This Row],[Region 1: Fixed Fee Per Case ($)]])/Table1437[[#This Row],['# of CN Servings per case]]</f>
        <v>#DIV/0!</v>
      </c>
      <c r="U126" s="77" t="e">
        <f>Table1437[[#This Row],[Total Cost Per Serving (O+P)/J]]*Table1437[[#This Row],[Estimated Servings Annual]]</f>
        <v>#DIV/0!</v>
      </c>
      <c r="V126" s="81">
        <f>(Table1437[[#This Row],[Commercial Bid Price per case for NOI ($)]]-Table1437[[#This Row],[Pass-Thru Value per case ($)]])+Table1437[[#This Row],[Region 2: Fixed Fee Per Case ($)]]</f>
        <v>0</v>
      </c>
      <c r="W126" s="77" t="e">
        <f>(Table1437[[#This Row],[Commercial Bid Price per case for NOI ($)]]+Table1437[[#This Row],[Region 2: Fixed Fee Per Case ($)]])/Table1437[[#This Row],['# of CN Servings per case]]</f>
        <v>#DIV/0!</v>
      </c>
      <c r="X126" s="82" t="e">
        <f>Table1437[[#This Row],[Total Cost Per Serving (O+Q)/J]]*Table1437[[#This Row],[Estimated Servings Annual]]</f>
        <v>#DIV/0!</v>
      </c>
    </row>
    <row r="127" spans="1:24" x14ac:dyDescent="0.35">
      <c r="A127" s="30" t="s">
        <v>37</v>
      </c>
      <c r="B127" s="12" t="s">
        <v>55</v>
      </c>
      <c r="C127" s="7" t="s">
        <v>13</v>
      </c>
      <c r="D127" s="7"/>
      <c r="E127" s="7"/>
      <c r="F127" s="7"/>
      <c r="G127" s="7"/>
      <c r="H127" s="7"/>
      <c r="I127" s="7"/>
      <c r="J127" s="7"/>
      <c r="K127" s="49">
        <v>600000</v>
      </c>
      <c r="L127" s="7"/>
      <c r="M127" s="7"/>
      <c r="N127" s="7"/>
      <c r="O127" s="7"/>
      <c r="P127" s="7"/>
      <c r="Q127" s="7"/>
      <c r="R127" s="7"/>
      <c r="S127" s="81">
        <f>(Table1437[[#This Row],[Commercial Bid Price per case for NOI ($)]]-Table1437[[#This Row],[Pass-Thru Value per case ($)]])+Table1437[[#This Row],[Region 1: Fixed Fee Per Case ($)]]</f>
        <v>0</v>
      </c>
      <c r="T127" s="77" t="e">
        <f>(Table1437[[#This Row],[Commercial Bid Price per case for NOI ($)]]+Table1437[[#This Row],[Region 1: Fixed Fee Per Case ($)]])/Table1437[[#This Row],['# of CN Servings per case]]</f>
        <v>#DIV/0!</v>
      </c>
      <c r="U127" s="77" t="e">
        <f>Table1437[[#This Row],[Total Cost Per Serving (O+P)/J]]*Table1437[[#This Row],[Estimated Servings Annual]]</f>
        <v>#DIV/0!</v>
      </c>
      <c r="V127" s="81">
        <f>(Table1437[[#This Row],[Commercial Bid Price per case for NOI ($)]]-Table1437[[#This Row],[Pass-Thru Value per case ($)]])+Table1437[[#This Row],[Region 2: Fixed Fee Per Case ($)]]</f>
        <v>0</v>
      </c>
      <c r="W127" s="77" t="e">
        <f>(Table1437[[#This Row],[Commercial Bid Price per case for NOI ($)]]+Table1437[[#This Row],[Region 2: Fixed Fee Per Case ($)]])/Table1437[[#This Row],['# of CN Servings per case]]</f>
        <v>#DIV/0!</v>
      </c>
      <c r="X127" s="82" t="e">
        <f>Table1437[[#This Row],[Total Cost Per Serving (O+Q)/J]]*Table1437[[#This Row],[Estimated Servings Annual]]</f>
        <v>#DIV/0!</v>
      </c>
    </row>
    <row r="128" spans="1:24" x14ac:dyDescent="0.35">
      <c r="A128" s="30" t="s">
        <v>37</v>
      </c>
      <c r="B128" s="12" t="s">
        <v>55</v>
      </c>
      <c r="C128" s="7" t="s">
        <v>13</v>
      </c>
      <c r="D128" s="7"/>
      <c r="E128" s="7"/>
      <c r="F128" s="7"/>
      <c r="G128" s="7"/>
      <c r="H128" s="7"/>
      <c r="I128" s="7"/>
      <c r="J128" s="7"/>
      <c r="K128" s="49">
        <v>600000</v>
      </c>
      <c r="L128" s="7"/>
      <c r="M128" s="7"/>
      <c r="N128" s="7"/>
      <c r="O128" s="7"/>
      <c r="P128" s="7"/>
      <c r="Q128" s="7"/>
      <c r="R128" s="7"/>
      <c r="S128" s="81">
        <f>(Table1437[[#This Row],[Commercial Bid Price per case for NOI ($)]]-Table1437[[#This Row],[Pass-Thru Value per case ($)]])+Table1437[[#This Row],[Region 1: Fixed Fee Per Case ($)]]</f>
        <v>0</v>
      </c>
      <c r="T128" s="77" t="e">
        <f>(Table1437[[#This Row],[Commercial Bid Price per case for NOI ($)]]+Table1437[[#This Row],[Region 1: Fixed Fee Per Case ($)]])/Table1437[[#This Row],['# of CN Servings per case]]</f>
        <v>#DIV/0!</v>
      </c>
      <c r="U128" s="77" t="e">
        <f>Table1437[[#This Row],[Total Cost Per Serving (O+P)/J]]*Table1437[[#This Row],[Estimated Servings Annual]]</f>
        <v>#DIV/0!</v>
      </c>
      <c r="V128" s="81">
        <f>(Table1437[[#This Row],[Commercial Bid Price per case for NOI ($)]]-Table1437[[#This Row],[Pass-Thru Value per case ($)]])+Table1437[[#This Row],[Region 2: Fixed Fee Per Case ($)]]</f>
        <v>0</v>
      </c>
      <c r="W128" s="77" t="e">
        <f>(Table1437[[#This Row],[Commercial Bid Price per case for NOI ($)]]+Table1437[[#This Row],[Region 2: Fixed Fee Per Case ($)]])/Table1437[[#This Row],['# of CN Servings per case]]</f>
        <v>#DIV/0!</v>
      </c>
      <c r="X128" s="82" t="e">
        <f>Table1437[[#This Row],[Total Cost Per Serving (O+Q)/J]]*Table1437[[#This Row],[Estimated Servings Annual]]</f>
        <v>#DIV/0!</v>
      </c>
    </row>
    <row r="129" spans="1:24" x14ac:dyDescent="0.35">
      <c r="A129" s="30" t="s">
        <v>37</v>
      </c>
      <c r="B129" s="12" t="s">
        <v>55</v>
      </c>
      <c r="C129" s="7" t="s">
        <v>13</v>
      </c>
      <c r="D129" s="7"/>
      <c r="E129" s="7"/>
      <c r="F129" s="7"/>
      <c r="G129" s="7"/>
      <c r="H129" s="7"/>
      <c r="I129" s="7"/>
      <c r="J129" s="7"/>
      <c r="K129" s="49">
        <v>600000</v>
      </c>
      <c r="L129" s="7"/>
      <c r="M129" s="7"/>
      <c r="N129" s="7"/>
      <c r="O129" s="7"/>
      <c r="P129" s="7"/>
      <c r="Q129" s="7"/>
      <c r="R129" s="7"/>
      <c r="S129" s="81">
        <f>(Table1437[[#This Row],[Commercial Bid Price per case for NOI ($)]]-Table1437[[#This Row],[Pass-Thru Value per case ($)]])+Table1437[[#This Row],[Region 1: Fixed Fee Per Case ($)]]</f>
        <v>0</v>
      </c>
      <c r="T129" s="77" t="e">
        <f>(Table1437[[#This Row],[Commercial Bid Price per case for NOI ($)]]+Table1437[[#This Row],[Region 1: Fixed Fee Per Case ($)]])/Table1437[[#This Row],['# of CN Servings per case]]</f>
        <v>#DIV/0!</v>
      </c>
      <c r="U129" s="77" t="e">
        <f>Table1437[[#This Row],[Total Cost Per Serving (O+P)/J]]*Table1437[[#This Row],[Estimated Servings Annual]]</f>
        <v>#DIV/0!</v>
      </c>
      <c r="V129" s="81">
        <f>(Table1437[[#This Row],[Commercial Bid Price per case for NOI ($)]]-Table1437[[#This Row],[Pass-Thru Value per case ($)]])+Table1437[[#This Row],[Region 2: Fixed Fee Per Case ($)]]</f>
        <v>0</v>
      </c>
      <c r="W129" s="77" t="e">
        <f>(Table1437[[#This Row],[Commercial Bid Price per case for NOI ($)]]+Table1437[[#This Row],[Region 2: Fixed Fee Per Case ($)]])/Table1437[[#This Row],['# of CN Servings per case]]</f>
        <v>#DIV/0!</v>
      </c>
      <c r="X129" s="82" t="e">
        <f>Table1437[[#This Row],[Total Cost Per Serving (O+Q)/J]]*Table1437[[#This Row],[Estimated Servings Annual]]</f>
        <v>#DIV/0!</v>
      </c>
    </row>
    <row r="130" spans="1:24" ht="15" thickBot="1" x14ac:dyDescent="0.4">
      <c r="A130" s="36" t="s">
        <v>37</v>
      </c>
      <c r="B130" s="13" t="s">
        <v>55</v>
      </c>
      <c r="C130" s="8" t="s">
        <v>13</v>
      </c>
      <c r="D130" s="8"/>
      <c r="E130" s="8"/>
      <c r="F130" s="8"/>
      <c r="G130" s="8"/>
      <c r="H130" s="8"/>
      <c r="I130" s="8"/>
      <c r="J130" s="8"/>
      <c r="K130" s="50">
        <v>600000</v>
      </c>
      <c r="L130" s="8"/>
      <c r="M130" s="8"/>
      <c r="N130" s="8"/>
      <c r="O130" s="8"/>
      <c r="P130" s="8"/>
      <c r="Q130" s="8"/>
      <c r="R130" s="8"/>
      <c r="S130" s="83">
        <f>(Table1437[[#This Row],[Commercial Bid Price per case for NOI ($)]]-Table1437[[#This Row],[Pass-Thru Value per case ($)]])+Table1437[[#This Row],[Region 1: Fixed Fee Per Case ($)]]</f>
        <v>0</v>
      </c>
      <c r="T130" s="78" t="e">
        <f>(Table1437[[#This Row],[Commercial Bid Price per case for NOI ($)]]+Table1437[[#This Row],[Region 1: Fixed Fee Per Case ($)]])/Table1437[[#This Row],['# of CN Servings per case]]</f>
        <v>#DIV/0!</v>
      </c>
      <c r="U130" s="78" t="e">
        <f>Table1437[[#This Row],[Total Cost Per Serving (O+P)/J]]*Table1437[[#This Row],[Estimated Servings Annual]]</f>
        <v>#DIV/0!</v>
      </c>
      <c r="V130" s="83">
        <f>(Table1437[[#This Row],[Commercial Bid Price per case for NOI ($)]]-Table1437[[#This Row],[Pass-Thru Value per case ($)]])+Table1437[[#This Row],[Region 2: Fixed Fee Per Case ($)]]</f>
        <v>0</v>
      </c>
      <c r="W130" s="78" t="e">
        <f>(Table1437[[#This Row],[Commercial Bid Price per case for NOI ($)]]+Table1437[[#This Row],[Region 2: Fixed Fee Per Case ($)]])/Table1437[[#This Row],['# of CN Servings per case]]</f>
        <v>#DIV/0!</v>
      </c>
      <c r="X130" s="84" t="e">
        <f>Table1437[[#This Row],[Total Cost Per Serving (O+Q)/J]]*Table1437[[#This Row],[Estimated Servings Annual]]</f>
        <v>#DIV/0!</v>
      </c>
    </row>
    <row r="131" spans="1:24" ht="29" x14ac:dyDescent="0.35">
      <c r="A131" s="30" t="s">
        <v>37</v>
      </c>
      <c r="B131" s="33" t="s">
        <v>56</v>
      </c>
      <c r="C131" s="6" t="s">
        <v>118</v>
      </c>
      <c r="D131" s="6"/>
      <c r="E131" s="6"/>
      <c r="F131" s="6"/>
      <c r="G131" s="6"/>
      <c r="H131" s="6"/>
      <c r="I131" s="6"/>
      <c r="J131" s="6"/>
      <c r="K131" s="48">
        <v>140000</v>
      </c>
      <c r="L131" s="6"/>
      <c r="M131" s="6"/>
      <c r="N131" s="6"/>
      <c r="O131" s="6"/>
      <c r="P131" s="6"/>
      <c r="Q131" s="6"/>
      <c r="R131" s="6"/>
      <c r="S131" s="79">
        <f>(Table1437[[#This Row],[Commercial Bid Price per case for NOI ($)]]-Table1437[[#This Row],[Pass-Thru Value per case ($)]])+Table1437[[#This Row],[Region 1: Fixed Fee Per Case ($)]]</f>
        <v>0</v>
      </c>
      <c r="T131" s="76" t="e">
        <f>(Table1437[[#This Row],[Commercial Bid Price per case for NOI ($)]]+Table1437[[#This Row],[Region 1: Fixed Fee Per Case ($)]])/Table1437[[#This Row],['# of CN Servings per case]]</f>
        <v>#DIV/0!</v>
      </c>
      <c r="U131" s="76" t="e">
        <f>Table1437[[#This Row],[Total Cost Per Serving (O+P)/J]]*Table1437[[#This Row],[Estimated Servings Annual]]</f>
        <v>#DIV/0!</v>
      </c>
      <c r="V131" s="79">
        <f>(Table1437[[#This Row],[Commercial Bid Price per case for NOI ($)]]-Table1437[[#This Row],[Pass-Thru Value per case ($)]])+Table1437[[#This Row],[Region 2: Fixed Fee Per Case ($)]]</f>
        <v>0</v>
      </c>
      <c r="W131" s="76" t="e">
        <f>(Table1437[[#This Row],[Commercial Bid Price per case for NOI ($)]]+Table1437[[#This Row],[Region 2: Fixed Fee Per Case ($)]])/Table1437[[#This Row],['# of CN Servings per case]]</f>
        <v>#DIV/0!</v>
      </c>
      <c r="X131" s="80" t="e">
        <f>Table1437[[#This Row],[Total Cost Per Serving (O+Q)/J]]*Table1437[[#This Row],[Estimated Servings Annual]]</f>
        <v>#DIV/0!</v>
      </c>
    </row>
    <row r="132" spans="1:24" ht="29" x14ac:dyDescent="0.35">
      <c r="A132" s="30" t="s">
        <v>37</v>
      </c>
      <c r="B132" s="34" t="s">
        <v>56</v>
      </c>
      <c r="C132" s="7" t="s">
        <v>118</v>
      </c>
      <c r="D132" s="7"/>
      <c r="E132" s="7"/>
      <c r="F132" s="7"/>
      <c r="G132" s="7"/>
      <c r="H132" s="7"/>
      <c r="I132" s="7"/>
      <c r="J132" s="7"/>
      <c r="K132" s="49">
        <v>140000</v>
      </c>
      <c r="L132" s="7"/>
      <c r="M132" s="7"/>
      <c r="N132" s="7"/>
      <c r="O132" s="7"/>
      <c r="P132" s="7"/>
      <c r="Q132" s="7"/>
      <c r="R132" s="7"/>
      <c r="S132" s="81">
        <f>(Table1437[[#This Row],[Commercial Bid Price per case for NOI ($)]]-Table1437[[#This Row],[Pass-Thru Value per case ($)]])+Table1437[[#This Row],[Region 1: Fixed Fee Per Case ($)]]</f>
        <v>0</v>
      </c>
      <c r="T132" s="77" t="e">
        <f>(Table1437[[#This Row],[Commercial Bid Price per case for NOI ($)]]+Table1437[[#This Row],[Region 1: Fixed Fee Per Case ($)]])/Table1437[[#This Row],['# of CN Servings per case]]</f>
        <v>#DIV/0!</v>
      </c>
      <c r="U132" s="77" t="e">
        <f>Table1437[[#This Row],[Total Cost Per Serving (O+P)/J]]*Table1437[[#This Row],[Estimated Servings Annual]]</f>
        <v>#DIV/0!</v>
      </c>
      <c r="V132" s="81">
        <f>(Table1437[[#This Row],[Commercial Bid Price per case for NOI ($)]]-Table1437[[#This Row],[Pass-Thru Value per case ($)]])+Table1437[[#This Row],[Region 2: Fixed Fee Per Case ($)]]</f>
        <v>0</v>
      </c>
      <c r="W132" s="77" t="e">
        <f>(Table1437[[#This Row],[Commercial Bid Price per case for NOI ($)]]+Table1437[[#This Row],[Region 2: Fixed Fee Per Case ($)]])/Table1437[[#This Row],['# of CN Servings per case]]</f>
        <v>#DIV/0!</v>
      </c>
      <c r="X132" s="82" t="e">
        <f>Table1437[[#This Row],[Total Cost Per Serving (O+Q)/J]]*Table1437[[#This Row],[Estimated Servings Annual]]</f>
        <v>#DIV/0!</v>
      </c>
    </row>
    <row r="133" spans="1:24" ht="29" x14ac:dyDescent="0.35">
      <c r="A133" s="30" t="s">
        <v>37</v>
      </c>
      <c r="B133" s="34" t="s">
        <v>56</v>
      </c>
      <c r="C133" s="7" t="s">
        <v>13</v>
      </c>
      <c r="D133" s="7"/>
      <c r="E133" s="7"/>
      <c r="F133" s="7"/>
      <c r="G133" s="7"/>
      <c r="H133" s="7"/>
      <c r="I133" s="7"/>
      <c r="J133" s="7"/>
      <c r="K133" s="49">
        <v>140000</v>
      </c>
      <c r="L133" s="7"/>
      <c r="M133" s="7"/>
      <c r="N133" s="7"/>
      <c r="O133" s="7"/>
      <c r="P133" s="7"/>
      <c r="Q133" s="7"/>
      <c r="R133" s="7"/>
      <c r="S133" s="81">
        <f>(Table1437[[#This Row],[Commercial Bid Price per case for NOI ($)]]-Table1437[[#This Row],[Pass-Thru Value per case ($)]])+Table1437[[#This Row],[Region 1: Fixed Fee Per Case ($)]]</f>
        <v>0</v>
      </c>
      <c r="T133" s="77" t="e">
        <f>(Table1437[[#This Row],[Commercial Bid Price per case for NOI ($)]]+Table1437[[#This Row],[Region 1: Fixed Fee Per Case ($)]])/Table1437[[#This Row],['# of CN Servings per case]]</f>
        <v>#DIV/0!</v>
      </c>
      <c r="U133" s="77" t="e">
        <f>Table1437[[#This Row],[Total Cost Per Serving (O+P)/J]]*Table1437[[#This Row],[Estimated Servings Annual]]</f>
        <v>#DIV/0!</v>
      </c>
      <c r="V133" s="81">
        <f>(Table1437[[#This Row],[Commercial Bid Price per case for NOI ($)]]-Table1437[[#This Row],[Pass-Thru Value per case ($)]])+Table1437[[#This Row],[Region 2: Fixed Fee Per Case ($)]]</f>
        <v>0</v>
      </c>
      <c r="W133" s="77" t="e">
        <f>(Table1437[[#This Row],[Commercial Bid Price per case for NOI ($)]]+Table1437[[#This Row],[Region 2: Fixed Fee Per Case ($)]])/Table1437[[#This Row],['# of CN Servings per case]]</f>
        <v>#DIV/0!</v>
      </c>
      <c r="X133" s="82" t="e">
        <f>Table1437[[#This Row],[Total Cost Per Serving (O+Q)/J]]*Table1437[[#This Row],[Estimated Servings Annual]]</f>
        <v>#DIV/0!</v>
      </c>
    </row>
    <row r="134" spans="1:24" ht="29" x14ac:dyDescent="0.35">
      <c r="A134" s="30" t="s">
        <v>37</v>
      </c>
      <c r="B134" s="34" t="s">
        <v>56</v>
      </c>
      <c r="C134" s="7" t="s">
        <v>13</v>
      </c>
      <c r="D134" s="7"/>
      <c r="E134" s="7"/>
      <c r="F134" s="7"/>
      <c r="G134" s="7"/>
      <c r="H134" s="7"/>
      <c r="I134" s="7"/>
      <c r="J134" s="7"/>
      <c r="K134" s="49">
        <v>140000</v>
      </c>
      <c r="L134" s="7"/>
      <c r="M134" s="7"/>
      <c r="N134" s="7"/>
      <c r="O134" s="7"/>
      <c r="P134" s="7"/>
      <c r="Q134" s="7"/>
      <c r="R134" s="7"/>
      <c r="S134" s="81">
        <f>(Table1437[[#This Row],[Commercial Bid Price per case for NOI ($)]]-Table1437[[#This Row],[Pass-Thru Value per case ($)]])+Table1437[[#This Row],[Region 1: Fixed Fee Per Case ($)]]</f>
        <v>0</v>
      </c>
      <c r="T134" s="77" t="e">
        <f>(Table1437[[#This Row],[Commercial Bid Price per case for NOI ($)]]+Table1437[[#This Row],[Region 1: Fixed Fee Per Case ($)]])/Table1437[[#This Row],['# of CN Servings per case]]</f>
        <v>#DIV/0!</v>
      </c>
      <c r="U134" s="77" t="e">
        <f>Table1437[[#This Row],[Total Cost Per Serving (O+P)/J]]*Table1437[[#This Row],[Estimated Servings Annual]]</f>
        <v>#DIV/0!</v>
      </c>
      <c r="V134" s="81">
        <f>(Table1437[[#This Row],[Commercial Bid Price per case for NOI ($)]]-Table1437[[#This Row],[Pass-Thru Value per case ($)]])+Table1437[[#This Row],[Region 2: Fixed Fee Per Case ($)]]</f>
        <v>0</v>
      </c>
      <c r="W134" s="77" t="e">
        <f>(Table1437[[#This Row],[Commercial Bid Price per case for NOI ($)]]+Table1437[[#This Row],[Region 2: Fixed Fee Per Case ($)]])/Table1437[[#This Row],['# of CN Servings per case]]</f>
        <v>#DIV/0!</v>
      </c>
      <c r="X134" s="82" t="e">
        <f>Table1437[[#This Row],[Total Cost Per Serving (O+Q)/J]]*Table1437[[#This Row],[Estimated Servings Annual]]</f>
        <v>#DIV/0!</v>
      </c>
    </row>
    <row r="135" spans="1:24" ht="29" x14ac:dyDescent="0.35">
      <c r="A135" s="30" t="s">
        <v>37</v>
      </c>
      <c r="B135" s="34" t="s">
        <v>56</v>
      </c>
      <c r="C135" s="7" t="s">
        <v>13</v>
      </c>
      <c r="D135" s="7"/>
      <c r="E135" s="7"/>
      <c r="F135" s="7"/>
      <c r="G135" s="7"/>
      <c r="H135" s="7"/>
      <c r="I135" s="7"/>
      <c r="J135" s="7"/>
      <c r="K135" s="49">
        <v>140000</v>
      </c>
      <c r="L135" s="7"/>
      <c r="M135" s="7"/>
      <c r="N135" s="7"/>
      <c r="O135" s="7"/>
      <c r="P135" s="7"/>
      <c r="Q135" s="7"/>
      <c r="R135" s="7"/>
      <c r="S135" s="81">
        <f>(Table1437[[#This Row],[Commercial Bid Price per case for NOI ($)]]-Table1437[[#This Row],[Pass-Thru Value per case ($)]])+Table1437[[#This Row],[Region 1: Fixed Fee Per Case ($)]]</f>
        <v>0</v>
      </c>
      <c r="T135" s="77" t="e">
        <f>(Table1437[[#This Row],[Commercial Bid Price per case for NOI ($)]]+Table1437[[#This Row],[Region 1: Fixed Fee Per Case ($)]])/Table1437[[#This Row],['# of CN Servings per case]]</f>
        <v>#DIV/0!</v>
      </c>
      <c r="U135" s="77" t="e">
        <f>Table1437[[#This Row],[Total Cost Per Serving (O+P)/J]]*Table1437[[#This Row],[Estimated Servings Annual]]</f>
        <v>#DIV/0!</v>
      </c>
      <c r="V135" s="81">
        <f>(Table1437[[#This Row],[Commercial Bid Price per case for NOI ($)]]-Table1437[[#This Row],[Pass-Thru Value per case ($)]])+Table1437[[#This Row],[Region 2: Fixed Fee Per Case ($)]]</f>
        <v>0</v>
      </c>
      <c r="W135" s="77" t="e">
        <f>(Table1437[[#This Row],[Commercial Bid Price per case for NOI ($)]]+Table1437[[#This Row],[Region 2: Fixed Fee Per Case ($)]])/Table1437[[#This Row],['# of CN Servings per case]]</f>
        <v>#DIV/0!</v>
      </c>
      <c r="X135" s="82" t="e">
        <f>Table1437[[#This Row],[Total Cost Per Serving (O+Q)/J]]*Table1437[[#This Row],[Estimated Servings Annual]]</f>
        <v>#DIV/0!</v>
      </c>
    </row>
    <row r="136" spans="1:24" ht="29" x14ac:dyDescent="0.35">
      <c r="A136" s="30" t="s">
        <v>37</v>
      </c>
      <c r="B136" s="34" t="s">
        <v>56</v>
      </c>
      <c r="C136" s="7" t="s">
        <v>13</v>
      </c>
      <c r="D136" s="7"/>
      <c r="E136" s="7"/>
      <c r="F136" s="7"/>
      <c r="G136" s="7"/>
      <c r="H136" s="7"/>
      <c r="I136" s="7"/>
      <c r="J136" s="7"/>
      <c r="K136" s="49">
        <v>140000</v>
      </c>
      <c r="L136" s="7"/>
      <c r="M136" s="7"/>
      <c r="N136" s="7"/>
      <c r="O136" s="7"/>
      <c r="P136" s="7"/>
      <c r="Q136" s="7"/>
      <c r="R136" s="7"/>
      <c r="S136" s="81">
        <f>(Table1437[[#This Row],[Commercial Bid Price per case for NOI ($)]]-Table1437[[#This Row],[Pass-Thru Value per case ($)]])+Table1437[[#This Row],[Region 1: Fixed Fee Per Case ($)]]</f>
        <v>0</v>
      </c>
      <c r="T136" s="77" t="e">
        <f>(Table1437[[#This Row],[Commercial Bid Price per case for NOI ($)]]+Table1437[[#This Row],[Region 1: Fixed Fee Per Case ($)]])/Table1437[[#This Row],['# of CN Servings per case]]</f>
        <v>#DIV/0!</v>
      </c>
      <c r="U136" s="77" t="e">
        <f>Table1437[[#This Row],[Total Cost Per Serving (O+P)/J]]*Table1437[[#This Row],[Estimated Servings Annual]]</f>
        <v>#DIV/0!</v>
      </c>
      <c r="V136" s="81">
        <f>(Table1437[[#This Row],[Commercial Bid Price per case for NOI ($)]]-Table1437[[#This Row],[Pass-Thru Value per case ($)]])+Table1437[[#This Row],[Region 2: Fixed Fee Per Case ($)]]</f>
        <v>0</v>
      </c>
      <c r="W136" s="77" t="e">
        <f>(Table1437[[#This Row],[Commercial Bid Price per case for NOI ($)]]+Table1437[[#This Row],[Region 2: Fixed Fee Per Case ($)]])/Table1437[[#This Row],['# of CN Servings per case]]</f>
        <v>#DIV/0!</v>
      </c>
      <c r="X136" s="82" t="e">
        <f>Table1437[[#This Row],[Total Cost Per Serving (O+Q)/J]]*Table1437[[#This Row],[Estimated Servings Annual]]</f>
        <v>#DIV/0!</v>
      </c>
    </row>
    <row r="137" spans="1:24" ht="29" x14ac:dyDescent="0.35">
      <c r="A137" s="30" t="s">
        <v>37</v>
      </c>
      <c r="B137" s="34" t="s">
        <v>56</v>
      </c>
      <c r="C137" s="7" t="s">
        <v>13</v>
      </c>
      <c r="D137" s="7"/>
      <c r="E137" s="7"/>
      <c r="F137" s="7"/>
      <c r="G137" s="7"/>
      <c r="H137" s="7"/>
      <c r="I137" s="7"/>
      <c r="J137" s="7"/>
      <c r="K137" s="49">
        <v>140000</v>
      </c>
      <c r="L137" s="7"/>
      <c r="M137" s="7"/>
      <c r="N137" s="7"/>
      <c r="O137" s="7"/>
      <c r="P137" s="7"/>
      <c r="Q137" s="7"/>
      <c r="R137" s="7"/>
      <c r="S137" s="81">
        <f>(Table1437[[#This Row],[Commercial Bid Price per case for NOI ($)]]-Table1437[[#This Row],[Pass-Thru Value per case ($)]])+Table1437[[#This Row],[Region 1: Fixed Fee Per Case ($)]]</f>
        <v>0</v>
      </c>
      <c r="T137" s="77" t="e">
        <f>(Table1437[[#This Row],[Commercial Bid Price per case for NOI ($)]]+Table1437[[#This Row],[Region 1: Fixed Fee Per Case ($)]])/Table1437[[#This Row],['# of CN Servings per case]]</f>
        <v>#DIV/0!</v>
      </c>
      <c r="U137" s="77" t="e">
        <f>Table1437[[#This Row],[Total Cost Per Serving (O+P)/J]]*Table1437[[#This Row],[Estimated Servings Annual]]</f>
        <v>#DIV/0!</v>
      </c>
      <c r="V137" s="81">
        <f>(Table1437[[#This Row],[Commercial Bid Price per case for NOI ($)]]-Table1437[[#This Row],[Pass-Thru Value per case ($)]])+Table1437[[#This Row],[Region 2: Fixed Fee Per Case ($)]]</f>
        <v>0</v>
      </c>
      <c r="W137" s="77" t="e">
        <f>(Table1437[[#This Row],[Commercial Bid Price per case for NOI ($)]]+Table1437[[#This Row],[Region 2: Fixed Fee Per Case ($)]])/Table1437[[#This Row],['# of CN Servings per case]]</f>
        <v>#DIV/0!</v>
      </c>
      <c r="X137" s="82" t="e">
        <f>Table1437[[#This Row],[Total Cost Per Serving (O+Q)/J]]*Table1437[[#This Row],[Estimated Servings Annual]]</f>
        <v>#DIV/0!</v>
      </c>
    </row>
    <row r="138" spans="1:24" ht="29.5" thickBot="1" x14ac:dyDescent="0.4">
      <c r="A138" s="36" t="s">
        <v>37</v>
      </c>
      <c r="B138" s="35" t="s">
        <v>56</v>
      </c>
      <c r="C138" s="8" t="s">
        <v>13</v>
      </c>
      <c r="D138" s="8"/>
      <c r="E138" s="8"/>
      <c r="F138" s="8"/>
      <c r="G138" s="8"/>
      <c r="H138" s="8"/>
      <c r="I138" s="8"/>
      <c r="J138" s="8"/>
      <c r="K138" s="50">
        <v>140000</v>
      </c>
      <c r="L138" s="8"/>
      <c r="M138" s="8"/>
      <c r="N138" s="8"/>
      <c r="O138" s="8"/>
      <c r="P138" s="8"/>
      <c r="Q138" s="8"/>
      <c r="R138" s="8"/>
      <c r="S138" s="83">
        <f>(Table1437[[#This Row],[Commercial Bid Price per case for NOI ($)]]-Table1437[[#This Row],[Pass-Thru Value per case ($)]])+Table1437[[#This Row],[Region 1: Fixed Fee Per Case ($)]]</f>
        <v>0</v>
      </c>
      <c r="T138" s="78" t="e">
        <f>(Table1437[[#This Row],[Commercial Bid Price per case for NOI ($)]]+Table1437[[#This Row],[Region 1: Fixed Fee Per Case ($)]])/Table1437[[#This Row],['# of CN Servings per case]]</f>
        <v>#DIV/0!</v>
      </c>
      <c r="U138" s="78" t="e">
        <f>Table1437[[#This Row],[Total Cost Per Serving (O+P)/J]]*Table1437[[#This Row],[Estimated Servings Annual]]</f>
        <v>#DIV/0!</v>
      </c>
      <c r="V138" s="83">
        <f>(Table1437[[#This Row],[Commercial Bid Price per case for NOI ($)]]-Table1437[[#This Row],[Pass-Thru Value per case ($)]])+Table1437[[#This Row],[Region 2: Fixed Fee Per Case ($)]]</f>
        <v>0</v>
      </c>
      <c r="W138" s="78" t="e">
        <f>(Table1437[[#This Row],[Commercial Bid Price per case for NOI ($)]]+Table1437[[#This Row],[Region 2: Fixed Fee Per Case ($)]])/Table1437[[#This Row],['# of CN Servings per case]]</f>
        <v>#DIV/0!</v>
      </c>
      <c r="X138" s="84" t="e">
        <f>Table1437[[#This Row],[Total Cost Per Serving (O+Q)/J]]*Table1437[[#This Row],[Estimated Servings Annual]]</f>
        <v>#DIV/0!</v>
      </c>
    </row>
    <row r="139" spans="1:24" x14ac:dyDescent="0.35">
      <c r="A139" s="30" t="s">
        <v>37</v>
      </c>
      <c r="B139" s="25" t="s">
        <v>130</v>
      </c>
      <c r="C139" s="7" t="s">
        <v>40</v>
      </c>
      <c r="D139" s="7"/>
      <c r="E139" s="7"/>
      <c r="F139" s="7"/>
      <c r="G139" s="7"/>
      <c r="H139" s="7"/>
      <c r="I139" s="7"/>
      <c r="J139" s="7"/>
      <c r="K139" s="49">
        <v>200000</v>
      </c>
      <c r="L139" s="7"/>
      <c r="M139" s="7"/>
      <c r="N139" s="7"/>
      <c r="O139" s="7"/>
      <c r="P139" s="7"/>
      <c r="Q139" s="7"/>
      <c r="R139" s="7"/>
      <c r="S139" s="81">
        <f>(Table1437[[#This Row],[Commercial Bid Price per case for NOI ($)]]-Table1437[[#This Row],[Pass-Thru Value per case ($)]])+Table1437[[#This Row],[Region 1: Fixed Fee Per Case ($)]]</f>
        <v>0</v>
      </c>
      <c r="T139" s="77" t="e">
        <f>(Table1437[[#This Row],[Commercial Bid Price per case for NOI ($)]]+Table1437[[#This Row],[Region 1: Fixed Fee Per Case ($)]])/Table1437[[#This Row],['# of CN Servings per case]]</f>
        <v>#DIV/0!</v>
      </c>
      <c r="U139" s="77" t="e">
        <f>Table1437[[#This Row],[Total Cost Per Serving (O+P)/J]]*Table1437[[#This Row],[Estimated Servings Annual]]</f>
        <v>#DIV/0!</v>
      </c>
      <c r="V139" s="81">
        <f>(Table1437[[#This Row],[Commercial Bid Price per case for NOI ($)]]-Table1437[[#This Row],[Pass-Thru Value per case ($)]])+Table1437[[#This Row],[Region 2: Fixed Fee Per Case ($)]]</f>
        <v>0</v>
      </c>
      <c r="W139" s="77" t="e">
        <f>(Table1437[[#This Row],[Commercial Bid Price per case for NOI ($)]]+Table1437[[#This Row],[Region 2: Fixed Fee Per Case ($)]])/Table1437[[#This Row],['# of CN Servings per case]]</f>
        <v>#DIV/0!</v>
      </c>
      <c r="X139" s="77" t="e">
        <f>Table1437[[#This Row],[Total Cost Per Serving (O+Q)/J]]*Table1437[[#This Row],[Estimated Servings Annual]]</f>
        <v>#DIV/0!</v>
      </c>
    </row>
    <row r="140" spans="1:24" x14ac:dyDescent="0.35">
      <c r="A140" s="30" t="s">
        <v>37</v>
      </c>
      <c r="B140" s="25" t="s">
        <v>130</v>
      </c>
      <c r="C140" s="7" t="s">
        <v>40</v>
      </c>
      <c r="D140" s="7"/>
      <c r="E140" s="7"/>
      <c r="F140" s="7"/>
      <c r="G140" s="7"/>
      <c r="H140" s="7"/>
      <c r="I140" s="7"/>
      <c r="J140" s="7"/>
      <c r="K140" s="49">
        <v>200000</v>
      </c>
      <c r="L140" s="7"/>
      <c r="M140" s="7"/>
      <c r="N140" s="7"/>
      <c r="O140" s="7"/>
      <c r="P140" s="7"/>
      <c r="Q140" s="7"/>
      <c r="R140" s="7"/>
      <c r="S140" s="81">
        <f>(Table1437[[#This Row],[Commercial Bid Price per case for NOI ($)]]-Table1437[[#This Row],[Pass-Thru Value per case ($)]])+Table1437[[#This Row],[Region 1: Fixed Fee Per Case ($)]]</f>
        <v>0</v>
      </c>
      <c r="T140" s="77" t="e">
        <f>(Table1437[[#This Row],[Commercial Bid Price per case for NOI ($)]]+Table1437[[#This Row],[Region 1: Fixed Fee Per Case ($)]])/Table1437[[#This Row],['# of CN Servings per case]]</f>
        <v>#DIV/0!</v>
      </c>
      <c r="U140" s="77" t="e">
        <f>Table1437[[#This Row],[Total Cost Per Serving (O+P)/J]]*Table1437[[#This Row],[Estimated Servings Annual]]</f>
        <v>#DIV/0!</v>
      </c>
      <c r="V140" s="81">
        <f>(Table1437[[#This Row],[Commercial Bid Price per case for NOI ($)]]-Table1437[[#This Row],[Pass-Thru Value per case ($)]])+Table1437[[#This Row],[Region 2: Fixed Fee Per Case ($)]]</f>
        <v>0</v>
      </c>
      <c r="W140" s="77" t="e">
        <f>(Table1437[[#This Row],[Commercial Bid Price per case for NOI ($)]]+Table1437[[#This Row],[Region 2: Fixed Fee Per Case ($)]])/Table1437[[#This Row],['# of CN Servings per case]]</f>
        <v>#DIV/0!</v>
      </c>
      <c r="X140" s="77" t="e">
        <f>Table1437[[#This Row],[Total Cost Per Serving (O+Q)/J]]*Table1437[[#This Row],[Estimated Servings Annual]]</f>
        <v>#DIV/0!</v>
      </c>
    </row>
    <row r="141" spans="1:24" x14ac:dyDescent="0.35">
      <c r="A141" s="30" t="s">
        <v>37</v>
      </c>
      <c r="B141" s="25" t="s">
        <v>130</v>
      </c>
      <c r="C141" s="7" t="s">
        <v>13</v>
      </c>
      <c r="D141" s="7"/>
      <c r="E141" s="7"/>
      <c r="F141" s="7"/>
      <c r="G141" s="7"/>
      <c r="H141" s="7"/>
      <c r="I141" s="7"/>
      <c r="J141" s="7"/>
      <c r="K141" s="49">
        <v>200000</v>
      </c>
      <c r="L141" s="7"/>
      <c r="M141" s="7"/>
      <c r="N141" s="7"/>
      <c r="O141" s="7"/>
      <c r="P141" s="7"/>
      <c r="Q141" s="7"/>
      <c r="R141" s="7"/>
      <c r="S141" s="81">
        <f>(Table1437[[#This Row],[Commercial Bid Price per case for NOI ($)]]-Table1437[[#This Row],[Pass-Thru Value per case ($)]])+Table1437[[#This Row],[Region 1: Fixed Fee Per Case ($)]]</f>
        <v>0</v>
      </c>
      <c r="T141" s="77" t="e">
        <f>(Table1437[[#This Row],[Commercial Bid Price per case for NOI ($)]]+Table1437[[#This Row],[Region 1: Fixed Fee Per Case ($)]])/Table1437[[#This Row],['# of CN Servings per case]]</f>
        <v>#DIV/0!</v>
      </c>
      <c r="U141" s="77" t="e">
        <f>Table1437[[#This Row],[Total Cost Per Serving (O+P)/J]]*Table1437[[#This Row],[Estimated Servings Annual]]</f>
        <v>#DIV/0!</v>
      </c>
      <c r="V141" s="81">
        <f>(Table1437[[#This Row],[Commercial Bid Price per case for NOI ($)]]-Table1437[[#This Row],[Pass-Thru Value per case ($)]])+Table1437[[#This Row],[Region 2: Fixed Fee Per Case ($)]]</f>
        <v>0</v>
      </c>
      <c r="W141" s="77" t="e">
        <f>(Table1437[[#This Row],[Commercial Bid Price per case for NOI ($)]]+Table1437[[#This Row],[Region 2: Fixed Fee Per Case ($)]])/Table1437[[#This Row],['# of CN Servings per case]]</f>
        <v>#DIV/0!</v>
      </c>
      <c r="X141" s="77" t="e">
        <f>Table1437[[#This Row],[Total Cost Per Serving (O+Q)/J]]*Table1437[[#This Row],[Estimated Servings Annual]]</f>
        <v>#DIV/0!</v>
      </c>
    </row>
    <row r="142" spans="1:24" x14ac:dyDescent="0.35">
      <c r="A142" s="30" t="s">
        <v>37</v>
      </c>
      <c r="B142" s="25" t="s">
        <v>130</v>
      </c>
      <c r="C142" s="7" t="s">
        <v>13</v>
      </c>
      <c r="D142" s="7"/>
      <c r="E142" s="7"/>
      <c r="F142" s="7"/>
      <c r="G142" s="7"/>
      <c r="H142" s="7"/>
      <c r="I142" s="7"/>
      <c r="J142" s="7"/>
      <c r="K142" s="49">
        <v>200000</v>
      </c>
      <c r="L142" s="7"/>
      <c r="M142" s="7"/>
      <c r="N142" s="7"/>
      <c r="O142" s="7"/>
      <c r="P142" s="7"/>
      <c r="Q142" s="7"/>
      <c r="R142" s="7"/>
      <c r="S142" s="81">
        <f>(Table1437[[#This Row],[Commercial Bid Price per case for NOI ($)]]-Table1437[[#This Row],[Pass-Thru Value per case ($)]])+Table1437[[#This Row],[Region 1: Fixed Fee Per Case ($)]]</f>
        <v>0</v>
      </c>
      <c r="T142" s="77" t="e">
        <f>(Table1437[[#This Row],[Commercial Bid Price per case for NOI ($)]]+Table1437[[#This Row],[Region 1: Fixed Fee Per Case ($)]])/Table1437[[#This Row],['# of CN Servings per case]]</f>
        <v>#DIV/0!</v>
      </c>
      <c r="U142" s="77" t="e">
        <f>Table1437[[#This Row],[Total Cost Per Serving (O+P)/J]]*Table1437[[#This Row],[Estimated Servings Annual]]</f>
        <v>#DIV/0!</v>
      </c>
      <c r="V142" s="81">
        <f>(Table1437[[#This Row],[Commercial Bid Price per case for NOI ($)]]-Table1437[[#This Row],[Pass-Thru Value per case ($)]])+Table1437[[#This Row],[Region 2: Fixed Fee Per Case ($)]]</f>
        <v>0</v>
      </c>
      <c r="W142" s="77" t="e">
        <f>(Table1437[[#This Row],[Commercial Bid Price per case for NOI ($)]]+Table1437[[#This Row],[Region 2: Fixed Fee Per Case ($)]])/Table1437[[#This Row],['# of CN Servings per case]]</f>
        <v>#DIV/0!</v>
      </c>
      <c r="X142" s="77" t="e">
        <f>Table1437[[#This Row],[Total Cost Per Serving (O+Q)/J]]*Table1437[[#This Row],[Estimated Servings Annual]]</f>
        <v>#DIV/0!</v>
      </c>
    </row>
    <row r="143" spans="1:24" x14ac:dyDescent="0.35">
      <c r="A143" s="30" t="s">
        <v>37</v>
      </c>
      <c r="B143" s="25" t="s">
        <v>130</v>
      </c>
      <c r="C143" s="7" t="s">
        <v>13</v>
      </c>
      <c r="D143" s="7"/>
      <c r="E143" s="7"/>
      <c r="F143" s="7"/>
      <c r="G143" s="7"/>
      <c r="H143" s="7"/>
      <c r="I143" s="7"/>
      <c r="J143" s="7"/>
      <c r="K143" s="49">
        <v>200000</v>
      </c>
      <c r="L143" s="7"/>
      <c r="M143" s="7"/>
      <c r="N143" s="7"/>
      <c r="O143" s="7"/>
      <c r="P143" s="7"/>
      <c r="Q143" s="7"/>
      <c r="R143" s="7"/>
      <c r="S143" s="81">
        <f>(Table1437[[#This Row],[Commercial Bid Price per case for NOI ($)]]-Table1437[[#This Row],[Pass-Thru Value per case ($)]])+Table1437[[#This Row],[Region 1: Fixed Fee Per Case ($)]]</f>
        <v>0</v>
      </c>
      <c r="T143" s="77" t="e">
        <f>(Table1437[[#This Row],[Commercial Bid Price per case for NOI ($)]]+Table1437[[#This Row],[Region 1: Fixed Fee Per Case ($)]])/Table1437[[#This Row],['# of CN Servings per case]]</f>
        <v>#DIV/0!</v>
      </c>
      <c r="U143" s="77" t="e">
        <f>Table1437[[#This Row],[Total Cost Per Serving (O+P)/J]]*Table1437[[#This Row],[Estimated Servings Annual]]</f>
        <v>#DIV/0!</v>
      </c>
      <c r="V143" s="81">
        <f>(Table1437[[#This Row],[Commercial Bid Price per case for NOI ($)]]-Table1437[[#This Row],[Pass-Thru Value per case ($)]])+Table1437[[#This Row],[Region 2: Fixed Fee Per Case ($)]]</f>
        <v>0</v>
      </c>
      <c r="W143" s="77" t="e">
        <f>(Table1437[[#This Row],[Commercial Bid Price per case for NOI ($)]]+Table1437[[#This Row],[Region 2: Fixed Fee Per Case ($)]])/Table1437[[#This Row],['# of CN Servings per case]]</f>
        <v>#DIV/0!</v>
      </c>
      <c r="X143" s="77" t="e">
        <f>Table1437[[#This Row],[Total Cost Per Serving (O+Q)/J]]*Table1437[[#This Row],[Estimated Servings Annual]]</f>
        <v>#DIV/0!</v>
      </c>
    </row>
    <row r="144" spans="1:24" x14ac:dyDescent="0.35">
      <c r="A144" s="30" t="s">
        <v>37</v>
      </c>
      <c r="B144" s="25" t="s">
        <v>130</v>
      </c>
      <c r="C144" s="7" t="s">
        <v>13</v>
      </c>
      <c r="D144" s="7"/>
      <c r="E144" s="7"/>
      <c r="F144" s="7"/>
      <c r="G144" s="7"/>
      <c r="H144" s="7"/>
      <c r="I144" s="7"/>
      <c r="J144" s="7"/>
      <c r="K144" s="49">
        <v>200000</v>
      </c>
      <c r="L144" s="7"/>
      <c r="M144" s="7"/>
      <c r="N144" s="7"/>
      <c r="O144" s="7"/>
      <c r="P144" s="7"/>
      <c r="Q144" s="7"/>
      <c r="R144" s="7"/>
      <c r="S144" s="81">
        <f>(Table1437[[#This Row],[Commercial Bid Price per case for NOI ($)]]-Table1437[[#This Row],[Pass-Thru Value per case ($)]])+Table1437[[#This Row],[Region 1: Fixed Fee Per Case ($)]]</f>
        <v>0</v>
      </c>
      <c r="T144" s="77" t="e">
        <f>(Table1437[[#This Row],[Commercial Bid Price per case for NOI ($)]]+Table1437[[#This Row],[Region 1: Fixed Fee Per Case ($)]])/Table1437[[#This Row],['# of CN Servings per case]]</f>
        <v>#DIV/0!</v>
      </c>
      <c r="U144" s="77" t="e">
        <f>Table1437[[#This Row],[Total Cost Per Serving (O+P)/J]]*Table1437[[#This Row],[Estimated Servings Annual]]</f>
        <v>#DIV/0!</v>
      </c>
      <c r="V144" s="81">
        <f>(Table1437[[#This Row],[Commercial Bid Price per case for NOI ($)]]-Table1437[[#This Row],[Pass-Thru Value per case ($)]])+Table1437[[#This Row],[Region 2: Fixed Fee Per Case ($)]]</f>
        <v>0</v>
      </c>
      <c r="W144" s="77" t="e">
        <f>(Table1437[[#This Row],[Commercial Bid Price per case for NOI ($)]]+Table1437[[#This Row],[Region 2: Fixed Fee Per Case ($)]])/Table1437[[#This Row],['# of CN Servings per case]]</f>
        <v>#DIV/0!</v>
      </c>
      <c r="X144" s="77" t="e">
        <f>Table1437[[#This Row],[Total Cost Per Serving (O+Q)/J]]*Table1437[[#This Row],[Estimated Servings Annual]]</f>
        <v>#DIV/0!</v>
      </c>
    </row>
    <row r="145" spans="1:24" x14ac:dyDescent="0.35">
      <c r="A145" s="30" t="s">
        <v>37</v>
      </c>
      <c r="B145" s="25" t="s">
        <v>130</v>
      </c>
      <c r="C145" s="7" t="s">
        <v>13</v>
      </c>
      <c r="D145" s="7"/>
      <c r="E145" s="7"/>
      <c r="F145" s="7"/>
      <c r="G145" s="7"/>
      <c r="H145" s="7"/>
      <c r="I145" s="7"/>
      <c r="J145" s="7"/>
      <c r="K145" s="49">
        <v>200000</v>
      </c>
      <c r="L145" s="7"/>
      <c r="M145" s="7"/>
      <c r="N145" s="7"/>
      <c r="O145" s="7"/>
      <c r="P145" s="7"/>
      <c r="Q145" s="7"/>
      <c r="R145" s="7"/>
      <c r="S145" s="81">
        <f>(Table1437[[#This Row],[Commercial Bid Price per case for NOI ($)]]-Table1437[[#This Row],[Pass-Thru Value per case ($)]])+Table1437[[#This Row],[Region 1: Fixed Fee Per Case ($)]]</f>
        <v>0</v>
      </c>
      <c r="T145" s="77" t="e">
        <f>(Table1437[[#This Row],[Commercial Bid Price per case for NOI ($)]]+Table1437[[#This Row],[Region 1: Fixed Fee Per Case ($)]])/Table1437[[#This Row],['# of CN Servings per case]]</f>
        <v>#DIV/0!</v>
      </c>
      <c r="U145" s="77" t="e">
        <f>Table1437[[#This Row],[Total Cost Per Serving (O+P)/J]]*Table1437[[#This Row],[Estimated Servings Annual]]</f>
        <v>#DIV/0!</v>
      </c>
      <c r="V145" s="81">
        <f>(Table1437[[#This Row],[Commercial Bid Price per case for NOI ($)]]-Table1437[[#This Row],[Pass-Thru Value per case ($)]])+Table1437[[#This Row],[Region 2: Fixed Fee Per Case ($)]]</f>
        <v>0</v>
      </c>
      <c r="W145" s="77" t="e">
        <f>(Table1437[[#This Row],[Commercial Bid Price per case for NOI ($)]]+Table1437[[#This Row],[Region 2: Fixed Fee Per Case ($)]])/Table1437[[#This Row],['# of CN Servings per case]]</f>
        <v>#DIV/0!</v>
      </c>
      <c r="X145" s="77" t="e">
        <f>Table1437[[#This Row],[Total Cost Per Serving (O+Q)/J]]*Table1437[[#This Row],[Estimated Servings Annual]]</f>
        <v>#DIV/0!</v>
      </c>
    </row>
    <row r="146" spans="1:24" ht="15" thickBot="1" x14ac:dyDescent="0.4">
      <c r="A146" s="30" t="s">
        <v>37</v>
      </c>
      <c r="B146" s="26" t="s">
        <v>130</v>
      </c>
      <c r="C146" s="27" t="s">
        <v>13</v>
      </c>
      <c r="D146" s="27"/>
      <c r="E146" s="27"/>
      <c r="F146" s="27"/>
      <c r="G146" s="27"/>
      <c r="H146" s="27"/>
      <c r="I146" s="27"/>
      <c r="J146" s="27"/>
      <c r="K146" s="49">
        <v>200000</v>
      </c>
      <c r="L146" s="27"/>
      <c r="M146" s="27"/>
      <c r="N146" s="27"/>
      <c r="O146" s="27"/>
      <c r="P146" s="27"/>
      <c r="Q146" s="27"/>
      <c r="R146" s="27"/>
      <c r="S146" s="90">
        <f>(Table1437[[#This Row],[Commercial Bid Price per case for NOI ($)]]-Table1437[[#This Row],[Pass-Thru Value per case ($)]])+Table1437[[#This Row],[Region 1: Fixed Fee Per Case ($)]]</f>
        <v>0</v>
      </c>
      <c r="T146" s="91" t="e">
        <f>(Table1437[[#This Row],[Commercial Bid Price per case for NOI ($)]]+Table1437[[#This Row],[Region 1: Fixed Fee Per Case ($)]])/Table1437[[#This Row],['# of CN Servings per case]]</f>
        <v>#DIV/0!</v>
      </c>
      <c r="U146" s="91" t="e">
        <f>Table1437[[#This Row],[Total Cost Per Serving (O+P)/J]]*Table1437[[#This Row],[Estimated Servings Annual]]</f>
        <v>#DIV/0!</v>
      </c>
      <c r="V146" s="90">
        <f>(Table1437[[#This Row],[Commercial Bid Price per case for NOI ($)]]-Table1437[[#This Row],[Pass-Thru Value per case ($)]])+Table1437[[#This Row],[Region 2: Fixed Fee Per Case ($)]]</f>
        <v>0</v>
      </c>
      <c r="W146" s="91" t="e">
        <f>(Table1437[[#This Row],[Commercial Bid Price per case for NOI ($)]]+Table1437[[#This Row],[Region 2: Fixed Fee Per Case ($)]])/Table1437[[#This Row],['# of CN Servings per case]]</f>
        <v>#DIV/0!</v>
      </c>
      <c r="X146" s="91" t="e">
        <f>Table1437[[#This Row],[Total Cost Per Serving (O+Q)/J]]*Table1437[[#This Row],[Estimated Servings Annual]]</f>
        <v>#DIV/0!</v>
      </c>
    </row>
    <row r="147" spans="1:24" ht="29" x14ac:dyDescent="0.35">
      <c r="A147" s="30" t="s">
        <v>37</v>
      </c>
      <c r="B147" s="33" t="s">
        <v>131</v>
      </c>
      <c r="C147" s="6" t="s">
        <v>40</v>
      </c>
      <c r="D147" s="6"/>
      <c r="E147" s="6"/>
      <c r="F147" s="6"/>
      <c r="G147" s="6"/>
      <c r="H147" s="6"/>
      <c r="I147" s="6"/>
      <c r="J147" s="6"/>
      <c r="K147" s="48">
        <v>550000</v>
      </c>
      <c r="L147" s="6"/>
      <c r="M147" s="6"/>
      <c r="N147" s="6"/>
      <c r="O147" s="6"/>
      <c r="P147" s="6"/>
      <c r="Q147" s="6"/>
      <c r="R147" s="6"/>
      <c r="S147" s="79">
        <f>(Table1437[[#This Row],[Commercial Bid Price per case for NOI ($)]]-Table1437[[#This Row],[Pass-Thru Value per case ($)]])+Table1437[[#This Row],[Region 1: Fixed Fee Per Case ($)]]</f>
        <v>0</v>
      </c>
      <c r="T147" s="76" t="e">
        <f>(Table1437[[#This Row],[Commercial Bid Price per case for NOI ($)]]+Table1437[[#This Row],[Region 1: Fixed Fee Per Case ($)]])/Table1437[[#This Row],['# of CN Servings per case]]</f>
        <v>#DIV/0!</v>
      </c>
      <c r="U147" s="76" t="e">
        <f>Table1437[[#This Row],[Total Cost Per Serving (O+P)/J]]*Table1437[[#This Row],[Estimated Servings Annual]]</f>
        <v>#DIV/0!</v>
      </c>
      <c r="V147" s="79">
        <f>(Table1437[[#This Row],[Commercial Bid Price per case for NOI ($)]]-Table1437[[#This Row],[Pass-Thru Value per case ($)]])+Table1437[[#This Row],[Region 2: Fixed Fee Per Case ($)]]</f>
        <v>0</v>
      </c>
      <c r="W147" s="76" t="e">
        <f>(Table1437[[#This Row],[Commercial Bid Price per case for NOI ($)]]+Table1437[[#This Row],[Region 2: Fixed Fee Per Case ($)]])/Table1437[[#This Row],['# of CN Servings per case]]</f>
        <v>#DIV/0!</v>
      </c>
      <c r="X147" s="80" t="e">
        <f>Table1437[[#This Row],[Total Cost Per Serving (O+Q)/J]]*Table1437[[#This Row],[Estimated Servings Annual]]</f>
        <v>#DIV/0!</v>
      </c>
    </row>
    <row r="148" spans="1:24" ht="29" x14ac:dyDescent="0.35">
      <c r="A148" s="30" t="s">
        <v>37</v>
      </c>
      <c r="B148" s="34" t="s">
        <v>131</v>
      </c>
      <c r="C148" s="7" t="s">
        <v>40</v>
      </c>
      <c r="D148" s="7"/>
      <c r="E148" s="7"/>
      <c r="F148" s="7"/>
      <c r="G148" s="7"/>
      <c r="H148" s="7"/>
      <c r="I148" s="7"/>
      <c r="J148" s="7"/>
      <c r="K148" s="49">
        <v>550000</v>
      </c>
      <c r="L148" s="7"/>
      <c r="M148" s="7"/>
      <c r="N148" s="7"/>
      <c r="O148" s="7"/>
      <c r="P148" s="7"/>
      <c r="Q148" s="7"/>
      <c r="R148" s="7"/>
      <c r="S148" s="81">
        <f>(Table1437[[#This Row],[Commercial Bid Price per case for NOI ($)]]-Table1437[[#This Row],[Pass-Thru Value per case ($)]])+Table1437[[#This Row],[Region 1: Fixed Fee Per Case ($)]]</f>
        <v>0</v>
      </c>
      <c r="T148" s="77" t="e">
        <f>(Table1437[[#This Row],[Commercial Bid Price per case for NOI ($)]]+Table1437[[#This Row],[Region 1: Fixed Fee Per Case ($)]])/Table1437[[#This Row],['# of CN Servings per case]]</f>
        <v>#DIV/0!</v>
      </c>
      <c r="U148" s="77" t="e">
        <f>Table1437[[#This Row],[Total Cost Per Serving (O+P)/J]]*Table1437[[#This Row],[Estimated Servings Annual]]</f>
        <v>#DIV/0!</v>
      </c>
      <c r="V148" s="81">
        <f>(Table1437[[#This Row],[Commercial Bid Price per case for NOI ($)]]-Table1437[[#This Row],[Pass-Thru Value per case ($)]])+Table1437[[#This Row],[Region 2: Fixed Fee Per Case ($)]]</f>
        <v>0</v>
      </c>
      <c r="W148" s="77" t="e">
        <f>(Table1437[[#This Row],[Commercial Bid Price per case for NOI ($)]]+Table1437[[#This Row],[Region 2: Fixed Fee Per Case ($)]])/Table1437[[#This Row],['# of CN Servings per case]]</f>
        <v>#DIV/0!</v>
      </c>
      <c r="X148" s="82" t="e">
        <f>Table1437[[#This Row],[Total Cost Per Serving (O+Q)/J]]*Table1437[[#This Row],[Estimated Servings Annual]]</f>
        <v>#DIV/0!</v>
      </c>
    </row>
    <row r="149" spans="1:24" ht="29" x14ac:dyDescent="0.35">
      <c r="A149" s="30" t="s">
        <v>37</v>
      </c>
      <c r="B149" s="34" t="s">
        <v>131</v>
      </c>
      <c r="C149" s="7" t="s">
        <v>13</v>
      </c>
      <c r="D149" s="7"/>
      <c r="E149" s="7"/>
      <c r="F149" s="7"/>
      <c r="G149" s="7"/>
      <c r="H149" s="7"/>
      <c r="I149" s="7"/>
      <c r="J149" s="7"/>
      <c r="K149" s="49">
        <v>550000</v>
      </c>
      <c r="L149" s="7"/>
      <c r="M149" s="7"/>
      <c r="N149" s="7"/>
      <c r="O149" s="7"/>
      <c r="P149" s="7"/>
      <c r="Q149" s="7"/>
      <c r="R149" s="7"/>
      <c r="S149" s="81">
        <f>(Table1437[[#This Row],[Commercial Bid Price per case for NOI ($)]]-Table1437[[#This Row],[Pass-Thru Value per case ($)]])+Table1437[[#This Row],[Region 1: Fixed Fee Per Case ($)]]</f>
        <v>0</v>
      </c>
      <c r="T149" s="77" t="e">
        <f>(Table1437[[#This Row],[Commercial Bid Price per case for NOI ($)]]+Table1437[[#This Row],[Region 1: Fixed Fee Per Case ($)]])/Table1437[[#This Row],['# of CN Servings per case]]</f>
        <v>#DIV/0!</v>
      </c>
      <c r="U149" s="77" t="e">
        <f>Table1437[[#This Row],[Total Cost Per Serving (O+P)/J]]*Table1437[[#This Row],[Estimated Servings Annual]]</f>
        <v>#DIV/0!</v>
      </c>
      <c r="V149" s="81">
        <f>(Table1437[[#This Row],[Commercial Bid Price per case for NOI ($)]]-Table1437[[#This Row],[Pass-Thru Value per case ($)]])+Table1437[[#This Row],[Region 2: Fixed Fee Per Case ($)]]</f>
        <v>0</v>
      </c>
      <c r="W149" s="77" t="e">
        <f>(Table1437[[#This Row],[Commercial Bid Price per case for NOI ($)]]+Table1437[[#This Row],[Region 2: Fixed Fee Per Case ($)]])/Table1437[[#This Row],['# of CN Servings per case]]</f>
        <v>#DIV/0!</v>
      </c>
      <c r="X149" s="82" t="e">
        <f>Table1437[[#This Row],[Total Cost Per Serving (O+Q)/J]]*Table1437[[#This Row],[Estimated Servings Annual]]</f>
        <v>#DIV/0!</v>
      </c>
    </row>
    <row r="150" spans="1:24" ht="29" x14ac:dyDescent="0.35">
      <c r="A150" s="30" t="s">
        <v>37</v>
      </c>
      <c r="B150" s="34" t="s">
        <v>131</v>
      </c>
      <c r="C150" s="7" t="s">
        <v>13</v>
      </c>
      <c r="D150" s="7"/>
      <c r="E150" s="7"/>
      <c r="F150" s="7"/>
      <c r="G150" s="7"/>
      <c r="H150" s="7"/>
      <c r="I150" s="7"/>
      <c r="J150" s="7"/>
      <c r="K150" s="49">
        <v>550000</v>
      </c>
      <c r="L150" s="7"/>
      <c r="M150" s="7"/>
      <c r="N150" s="7"/>
      <c r="O150" s="7"/>
      <c r="P150" s="7"/>
      <c r="Q150" s="7"/>
      <c r="R150" s="7"/>
      <c r="S150" s="81">
        <f>(Table1437[[#This Row],[Commercial Bid Price per case for NOI ($)]]-Table1437[[#This Row],[Pass-Thru Value per case ($)]])+Table1437[[#This Row],[Region 1: Fixed Fee Per Case ($)]]</f>
        <v>0</v>
      </c>
      <c r="T150" s="77" t="e">
        <f>(Table1437[[#This Row],[Commercial Bid Price per case for NOI ($)]]+Table1437[[#This Row],[Region 1: Fixed Fee Per Case ($)]])/Table1437[[#This Row],['# of CN Servings per case]]</f>
        <v>#DIV/0!</v>
      </c>
      <c r="U150" s="77" t="e">
        <f>Table1437[[#This Row],[Total Cost Per Serving (O+P)/J]]*Table1437[[#This Row],[Estimated Servings Annual]]</f>
        <v>#DIV/0!</v>
      </c>
      <c r="V150" s="81">
        <f>(Table1437[[#This Row],[Commercial Bid Price per case for NOI ($)]]-Table1437[[#This Row],[Pass-Thru Value per case ($)]])+Table1437[[#This Row],[Region 2: Fixed Fee Per Case ($)]]</f>
        <v>0</v>
      </c>
      <c r="W150" s="77" t="e">
        <f>(Table1437[[#This Row],[Commercial Bid Price per case for NOI ($)]]+Table1437[[#This Row],[Region 2: Fixed Fee Per Case ($)]])/Table1437[[#This Row],['# of CN Servings per case]]</f>
        <v>#DIV/0!</v>
      </c>
      <c r="X150" s="82" t="e">
        <f>Table1437[[#This Row],[Total Cost Per Serving (O+Q)/J]]*Table1437[[#This Row],[Estimated Servings Annual]]</f>
        <v>#DIV/0!</v>
      </c>
    </row>
    <row r="151" spans="1:24" ht="29" x14ac:dyDescent="0.35">
      <c r="A151" s="30" t="s">
        <v>37</v>
      </c>
      <c r="B151" s="34" t="s">
        <v>131</v>
      </c>
      <c r="C151" s="7" t="s">
        <v>13</v>
      </c>
      <c r="D151" s="7"/>
      <c r="E151" s="7"/>
      <c r="F151" s="7"/>
      <c r="G151" s="7"/>
      <c r="H151" s="7"/>
      <c r="I151" s="7"/>
      <c r="J151" s="7"/>
      <c r="K151" s="49">
        <v>550000</v>
      </c>
      <c r="L151" s="7"/>
      <c r="M151" s="7"/>
      <c r="N151" s="7"/>
      <c r="O151" s="7"/>
      <c r="P151" s="7"/>
      <c r="Q151" s="7"/>
      <c r="R151" s="7"/>
      <c r="S151" s="81">
        <f>(Table1437[[#This Row],[Commercial Bid Price per case for NOI ($)]]-Table1437[[#This Row],[Pass-Thru Value per case ($)]])+Table1437[[#This Row],[Region 1: Fixed Fee Per Case ($)]]</f>
        <v>0</v>
      </c>
      <c r="T151" s="77" t="e">
        <f>(Table1437[[#This Row],[Commercial Bid Price per case for NOI ($)]]+Table1437[[#This Row],[Region 1: Fixed Fee Per Case ($)]])/Table1437[[#This Row],['# of CN Servings per case]]</f>
        <v>#DIV/0!</v>
      </c>
      <c r="U151" s="77" t="e">
        <f>Table1437[[#This Row],[Total Cost Per Serving (O+P)/J]]*Table1437[[#This Row],[Estimated Servings Annual]]</f>
        <v>#DIV/0!</v>
      </c>
      <c r="V151" s="81">
        <f>(Table1437[[#This Row],[Commercial Bid Price per case for NOI ($)]]-Table1437[[#This Row],[Pass-Thru Value per case ($)]])+Table1437[[#This Row],[Region 2: Fixed Fee Per Case ($)]]</f>
        <v>0</v>
      </c>
      <c r="W151" s="77" t="e">
        <f>(Table1437[[#This Row],[Commercial Bid Price per case for NOI ($)]]+Table1437[[#This Row],[Region 2: Fixed Fee Per Case ($)]])/Table1437[[#This Row],['# of CN Servings per case]]</f>
        <v>#DIV/0!</v>
      </c>
      <c r="X151" s="82" t="e">
        <f>Table1437[[#This Row],[Total Cost Per Serving (O+Q)/J]]*Table1437[[#This Row],[Estimated Servings Annual]]</f>
        <v>#DIV/0!</v>
      </c>
    </row>
    <row r="152" spans="1:24" ht="29" x14ac:dyDescent="0.35">
      <c r="A152" s="30" t="s">
        <v>37</v>
      </c>
      <c r="B152" s="34" t="s">
        <v>131</v>
      </c>
      <c r="C152" s="7" t="s">
        <v>13</v>
      </c>
      <c r="D152" s="7"/>
      <c r="E152" s="7"/>
      <c r="F152" s="7"/>
      <c r="G152" s="7"/>
      <c r="H152" s="7"/>
      <c r="I152" s="7"/>
      <c r="J152" s="7"/>
      <c r="K152" s="49">
        <v>550000</v>
      </c>
      <c r="L152" s="7"/>
      <c r="M152" s="7"/>
      <c r="N152" s="7"/>
      <c r="O152" s="7"/>
      <c r="P152" s="7"/>
      <c r="Q152" s="7"/>
      <c r="R152" s="7"/>
      <c r="S152" s="81">
        <f>(Table1437[[#This Row],[Commercial Bid Price per case for NOI ($)]]-Table1437[[#This Row],[Pass-Thru Value per case ($)]])+Table1437[[#This Row],[Region 1: Fixed Fee Per Case ($)]]</f>
        <v>0</v>
      </c>
      <c r="T152" s="77" t="e">
        <f>(Table1437[[#This Row],[Commercial Bid Price per case for NOI ($)]]+Table1437[[#This Row],[Region 1: Fixed Fee Per Case ($)]])/Table1437[[#This Row],['# of CN Servings per case]]</f>
        <v>#DIV/0!</v>
      </c>
      <c r="U152" s="77" t="e">
        <f>Table1437[[#This Row],[Total Cost Per Serving (O+P)/J]]*Table1437[[#This Row],[Estimated Servings Annual]]</f>
        <v>#DIV/0!</v>
      </c>
      <c r="V152" s="81">
        <f>(Table1437[[#This Row],[Commercial Bid Price per case for NOI ($)]]-Table1437[[#This Row],[Pass-Thru Value per case ($)]])+Table1437[[#This Row],[Region 2: Fixed Fee Per Case ($)]]</f>
        <v>0</v>
      </c>
      <c r="W152" s="77" t="e">
        <f>(Table1437[[#This Row],[Commercial Bid Price per case for NOI ($)]]+Table1437[[#This Row],[Region 2: Fixed Fee Per Case ($)]])/Table1437[[#This Row],['# of CN Servings per case]]</f>
        <v>#DIV/0!</v>
      </c>
      <c r="X152" s="82" t="e">
        <f>Table1437[[#This Row],[Total Cost Per Serving (O+Q)/J]]*Table1437[[#This Row],[Estimated Servings Annual]]</f>
        <v>#DIV/0!</v>
      </c>
    </row>
    <row r="153" spans="1:24" ht="29" x14ac:dyDescent="0.35">
      <c r="A153" s="30" t="s">
        <v>37</v>
      </c>
      <c r="B153" s="34" t="s">
        <v>131</v>
      </c>
      <c r="C153" s="7" t="s">
        <v>13</v>
      </c>
      <c r="D153" s="7"/>
      <c r="E153" s="7"/>
      <c r="F153" s="7"/>
      <c r="G153" s="7"/>
      <c r="H153" s="7"/>
      <c r="I153" s="7"/>
      <c r="J153" s="7"/>
      <c r="K153" s="49">
        <v>550000</v>
      </c>
      <c r="L153" s="7"/>
      <c r="M153" s="7"/>
      <c r="N153" s="7"/>
      <c r="O153" s="7"/>
      <c r="P153" s="7"/>
      <c r="Q153" s="7"/>
      <c r="R153" s="7"/>
      <c r="S153" s="81">
        <f>(Table1437[[#This Row],[Commercial Bid Price per case for NOI ($)]]-Table1437[[#This Row],[Pass-Thru Value per case ($)]])+Table1437[[#This Row],[Region 1: Fixed Fee Per Case ($)]]</f>
        <v>0</v>
      </c>
      <c r="T153" s="77" t="e">
        <f>(Table1437[[#This Row],[Commercial Bid Price per case for NOI ($)]]+Table1437[[#This Row],[Region 1: Fixed Fee Per Case ($)]])/Table1437[[#This Row],['# of CN Servings per case]]</f>
        <v>#DIV/0!</v>
      </c>
      <c r="U153" s="77" t="e">
        <f>Table1437[[#This Row],[Total Cost Per Serving (O+P)/J]]*Table1437[[#This Row],[Estimated Servings Annual]]</f>
        <v>#DIV/0!</v>
      </c>
      <c r="V153" s="81">
        <f>(Table1437[[#This Row],[Commercial Bid Price per case for NOI ($)]]-Table1437[[#This Row],[Pass-Thru Value per case ($)]])+Table1437[[#This Row],[Region 2: Fixed Fee Per Case ($)]]</f>
        <v>0</v>
      </c>
      <c r="W153" s="77" t="e">
        <f>(Table1437[[#This Row],[Commercial Bid Price per case for NOI ($)]]+Table1437[[#This Row],[Region 2: Fixed Fee Per Case ($)]])/Table1437[[#This Row],['# of CN Servings per case]]</f>
        <v>#DIV/0!</v>
      </c>
      <c r="X153" s="82" t="e">
        <f>Table1437[[#This Row],[Total Cost Per Serving (O+Q)/J]]*Table1437[[#This Row],[Estimated Servings Annual]]</f>
        <v>#DIV/0!</v>
      </c>
    </row>
    <row r="154" spans="1:24" ht="29.5" thickBot="1" x14ac:dyDescent="0.4">
      <c r="A154" s="36" t="s">
        <v>37</v>
      </c>
      <c r="B154" s="35" t="s">
        <v>131</v>
      </c>
      <c r="C154" s="8" t="s">
        <v>13</v>
      </c>
      <c r="D154" s="8"/>
      <c r="E154" s="8"/>
      <c r="F154" s="8"/>
      <c r="G154" s="8"/>
      <c r="H154" s="8"/>
      <c r="I154" s="8"/>
      <c r="J154" s="8"/>
      <c r="K154" s="50">
        <v>550000</v>
      </c>
      <c r="L154" s="8"/>
      <c r="M154" s="8"/>
      <c r="N154" s="8"/>
      <c r="O154" s="8"/>
      <c r="P154" s="8"/>
      <c r="Q154" s="8"/>
      <c r="R154" s="8"/>
      <c r="S154" s="83">
        <f>(Table1437[[#This Row],[Commercial Bid Price per case for NOI ($)]]-Table1437[[#This Row],[Pass-Thru Value per case ($)]])+Table1437[[#This Row],[Region 1: Fixed Fee Per Case ($)]]</f>
        <v>0</v>
      </c>
      <c r="T154" s="78" t="e">
        <f>(Table1437[[#This Row],[Commercial Bid Price per case for NOI ($)]]+Table1437[[#This Row],[Region 1: Fixed Fee Per Case ($)]])/Table1437[[#This Row],['# of CN Servings per case]]</f>
        <v>#DIV/0!</v>
      </c>
      <c r="U154" s="78" t="e">
        <f>Table1437[[#This Row],[Total Cost Per Serving (O+P)/J]]*Table1437[[#This Row],[Estimated Servings Annual]]</f>
        <v>#DIV/0!</v>
      </c>
      <c r="V154" s="83">
        <f>(Table1437[[#This Row],[Commercial Bid Price per case for NOI ($)]]-Table1437[[#This Row],[Pass-Thru Value per case ($)]])+Table1437[[#This Row],[Region 2: Fixed Fee Per Case ($)]]</f>
        <v>0</v>
      </c>
      <c r="W154" s="78" t="e">
        <f>(Table1437[[#This Row],[Commercial Bid Price per case for NOI ($)]]+Table1437[[#This Row],[Region 2: Fixed Fee Per Case ($)]])/Table1437[[#This Row],['# of CN Servings per case]]</f>
        <v>#DIV/0!</v>
      </c>
      <c r="X154" s="84" t="e">
        <f>Table1437[[#This Row],[Total Cost Per Serving (O+Q)/J]]*Table1437[[#This Row],[Estimated Servings Annual]]</f>
        <v>#DIV/0!</v>
      </c>
    </row>
    <row r="155" spans="1:24" x14ac:dyDescent="0.35">
      <c r="K155" s="93"/>
    </row>
  </sheetData>
  <sheetProtection algorithmName="SHA-512" hashValue="gGVYDdn5zucUCMy8uy7p4+JsvIVSrJdsdrttWQpMQC+TBk94G08esw/HRBkRppVJBWPCETTbVVmphDZGyuRWBQ==" saltValue="ddthipowuL/CSuMRSVB5vg==" spinCount="100000" sheet="1" objects="1" scenarios="1" formatCells="0" formatColumns="0"/>
  <mergeCells count="3">
    <mergeCell ref="E1:G1"/>
    <mergeCell ref="S1:U1"/>
    <mergeCell ref="V1:X1"/>
  </mergeCell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C2B3D-A6B7-4C3E-B60E-F42253E6E6F5}">
  <sheetPr codeName="Sheet8"/>
  <dimension ref="A1:X114"/>
  <sheetViews>
    <sheetView workbookViewId="0">
      <pane xSplit="3" ySplit="2" topLeftCell="D3" activePane="bottomRight" state="frozen"/>
      <selection activeCell="A24" sqref="A24"/>
      <selection pane="topRight" activeCell="A24" sqref="A24"/>
      <selection pane="bottomLeft" activeCell="A24" sqref="A24"/>
      <selection pane="bottomRight" activeCell="A24" sqref="A24"/>
    </sheetView>
  </sheetViews>
  <sheetFormatPr defaultColWidth="11" defaultRowHeight="14.5" x14ac:dyDescent="0.35"/>
  <cols>
    <col min="1" max="1" width="10.7265625" style="9" customWidth="1"/>
    <col min="2" max="2" width="26" style="9" bestFit="1" customWidth="1"/>
    <col min="3" max="3" width="16.6328125" style="9" bestFit="1" customWidth="1"/>
    <col min="4" max="4" width="20.81640625" style="9" bestFit="1" customWidth="1"/>
    <col min="5" max="5" width="26.26953125" style="9" bestFit="1" customWidth="1"/>
    <col min="6" max="6" width="12.90625" style="9" bestFit="1" customWidth="1"/>
    <col min="7" max="7" width="15" style="9" bestFit="1" customWidth="1"/>
    <col min="8" max="8" width="14.54296875" style="9" bestFit="1" customWidth="1"/>
    <col min="9" max="9" width="9.54296875" style="9" bestFit="1" customWidth="1"/>
    <col min="10" max="10" width="13.6328125" style="63" bestFit="1" customWidth="1"/>
    <col min="11" max="11" width="11.7265625" style="9" bestFit="1" customWidth="1"/>
    <col min="12" max="12" width="10.453125" style="9" bestFit="1" customWidth="1"/>
    <col min="13" max="13" width="14.26953125" style="9" bestFit="1" customWidth="1"/>
    <col min="14" max="14" width="11.453125" style="9" bestFit="1" customWidth="1"/>
    <col min="15" max="15" width="17.81640625" style="9" bestFit="1" customWidth="1"/>
    <col min="16" max="17" width="16.90625" style="9" bestFit="1" customWidth="1"/>
    <col min="18" max="18" width="14.54296875" style="9" bestFit="1" customWidth="1"/>
    <col min="19" max="19" width="14.1796875" style="9" bestFit="1" customWidth="1"/>
    <col min="20" max="20" width="16.36328125" style="9" bestFit="1" customWidth="1"/>
    <col min="21" max="21" width="11.54296875" style="9" bestFit="1" customWidth="1"/>
    <col min="22" max="22" width="14.1796875" style="9" bestFit="1" customWidth="1"/>
    <col min="23" max="23" width="16.6328125" style="9" bestFit="1" customWidth="1"/>
    <col min="24" max="24" width="11.54296875" style="9" bestFit="1" customWidth="1"/>
    <col min="25" max="16384" width="11" style="9"/>
  </cols>
  <sheetData>
    <row r="1" spans="1:24" x14ac:dyDescent="0.35">
      <c r="D1" s="10" t="s">
        <v>63</v>
      </c>
      <c r="E1" s="97">
        <f>Instructions!A2</f>
        <v>0</v>
      </c>
      <c r="F1" s="97"/>
      <c r="G1" s="97"/>
      <c r="S1" s="98" t="s">
        <v>72</v>
      </c>
      <c r="T1" s="99"/>
      <c r="U1" s="100"/>
      <c r="V1" s="101" t="s">
        <v>73</v>
      </c>
      <c r="W1" s="102"/>
      <c r="X1" s="102"/>
    </row>
    <row r="2" spans="1:24" s="10" customFormat="1" ht="58.5" thickBot="1" x14ac:dyDescent="0.4">
      <c r="A2" s="10" t="s">
        <v>14</v>
      </c>
      <c r="B2" s="10" t="s">
        <v>3</v>
      </c>
      <c r="C2" s="10" t="s">
        <v>23</v>
      </c>
      <c r="D2" s="10" t="s">
        <v>66</v>
      </c>
      <c r="E2" s="10" t="s">
        <v>182</v>
      </c>
      <c r="F2" s="10" t="s">
        <v>0</v>
      </c>
      <c r="G2" s="10" t="s">
        <v>4</v>
      </c>
      <c r="H2" s="10" t="s">
        <v>20</v>
      </c>
      <c r="I2" s="10" t="s">
        <v>1</v>
      </c>
      <c r="J2" s="10" t="s">
        <v>5</v>
      </c>
      <c r="K2" s="18" t="s">
        <v>6</v>
      </c>
      <c r="L2" s="10" t="s">
        <v>2</v>
      </c>
      <c r="M2" s="10" t="s">
        <v>21</v>
      </c>
      <c r="N2" s="10" t="s">
        <v>65</v>
      </c>
      <c r="O2" s="10" t="s">
        <v>22</v>
      </c>
      <c r="P2" s="10" t="s">
        <v>70</v>
      </c>
      <c r="Q2" s="10" t="s">
        <v>71</v>
      </c>
      <c r="R2" s="10" t="s">
        <v>19</v>
      </c>
      <c r="S2" s="64" t="s">
        <v>77</v>
      </c>
      <c r="T2" s="65" t="s">
        <v>79</v>
      </c>
      <c r="U2" s="66" t="s">
        <v>80</v>
      </c>
      <c r="V2" s="64" t="s">
        <v>78</v>
      </c>
      <c r="W2" s="65" t="s">
        <v>81</v>
      </c>
      <c r="X2" s="66" t="s">
        <v>82</v>
      </c>
    </row>
    <row r="3" spans="1:24" x14ac:dyDescent="0.35">
      <c r="A3" s="29" t="s">
        <v>29</v>
      </c>
      <c r="B3" s="42" t="s">
        <v>133</v>
      </c>
      <c r="C3" s="6" t="s">
        <v>60</v>
      </c>
      <c r="D3" s="6"/>
      <c r="E3" s="6"/>
      <c r="F3" s="6"/>
      <c r="G3" s="6"/>
      <c r="H3" s="6"/>
      <c r="I3" s="6"/>
      <c r="J3" s="6"/>
      <c r="K3" s="48">
        <v>800000</v>
      </c>
      <c r="L3" s="6"/>
      <c r="M3" s="6"/>
      <c r="N3" s="6"/>
      <c r="O3" s="6"/>
      <c r="P3" s="6"/>
      <c r="Q3" s="6"/>
      <c r="R3" s="6"/>
      <c r="S3" s="67">
        <f>(Table1438[[#This Row],[Commercial Bid Price per case for NOI ($)]]-Table1438[[#This Row],[Pass-Thru Value per case ($)]])+Table1438[[#This Row],[Region 1: Fixed Fee Per Case ($)]]</f>
        <v>0</v>
      </c>
      <c r="T3" s="68" t="e">
        <f>(Table1438[[#This Row],[Commercial Bid Price per case for NOI ($)]]+Table1438[[#This Row],[Region 1: Fixed Fee Per Case ($)]])/Table1438[[#This Row],['# of CN Servings per case]]</f>
        <v>#DIV/0!</v>
      </c>
      <c r="U3" s="68" t="e">
        <f>Table1438[[#This Row],[Total Cost Per Serving (O+P)/J]]*Table1438[[#This Row],[Estimated Servings Annual]]</f>
        <v>#DIV/0!</v>
      </c>
      <c r="V3" s="67">
        <f>(Table1438[[#This Row],[Commercial Bid Price per case for NOI ($)]]-Table1438[[#This Row],[Pass-Thru Value per case ($)]])+Table1438[[#This Row],[Region 2: Fixed Fee Per Case ($)]]</f>
        <v>0</v>
      </c>
      <c r="W3" s="68" t="e">
        <f>(Table1438[[#This Row],[Commercial Bid Price per case for NOI ($)]]+Table1438[[#This Row],[Region 2: Fixed Fee Per Case ($)]])/Table1438[[#This Row],['# of CN Servings per case]]</f>
        <v>#DIV/0!</v>
      </c>
      <c r="X3" s="69" t="e">
        <f>Table1438[[#This Row],[Total Cost Per Serving (O+Q)/J]]*Table1438[[#This Row],[Estimated Servings Annual]]</f>
        <v>#DIV/0!</v>
      </c>
    </row>
    <row r="4" spans="1:24" x14ac:dyDescent="0.35">
      <c r="A4" s="30" t="s">
        <v>29</v>
      </c>
      <c r="B4" s="28" t="s">
        <v>133</v>
      </c>
      <c r="C4" s="7" t="s">
        <v>60</v>
      </c>
      <c r="D4" s="7"/>
      <c r="E4" s="7"/>
      <c r="F4" s="7"/>
      <c r="G4" s="7"/>
      <c r="H4" s="7"/>
      <c r="I4" s="7"/>
      <c r="J4" s="7"/>
      <c r="K4" s="49">
        <v>800000</v>
      </c>
      <c r="L4" s="7"/>
      <c r="M4" s="7"/>
      <c r="N4" s="7"/>
      <c r="O4" s="7"/>
      <c r="P4" s="7"/>
      <c r="Q4" s="7"/>
      <c r="R4" s="7"/>
      <c r="S4" s="70">
        <f>(Table1438[[#This Row],[Commercial Bid Price per case for NOI ($)]]-Table1438[[#This Row],[Pass-Thru Value per case ($)]])+Table1438[[#This Row],[Region 1: Fixed Fee Per Case ($)]]</f>
        <v>0</v>
      </c>
      <c r="T4" s="71" t="e">
        <f>(Table1438[[#This Row],[Commercial Bid Price per case for NOI ($)]]+Table1438[[#This Row],[Region 1: Fixed Fee Per Case ($)]])/Table1438[[#This Row],['# of CN Servings per case]]</f>
        <v>#DIV/0!</v>
      </c>
      <c r="U4" s="71" t="e">
        <f>Table1438[[#This Row],[Total Cost Per Serving (O+P)/J]]*Table1438[[#This Row],[Estimated Servings Annual]]</f>
        <v>#DIV/0!</v>
      </c>
      <c r="V4" s="70">
        <f>(Table1438[[#This Row],[Commercial Bid Price per case for NOI ($)]]-Table1438[[#This Row],[Pass-Thru Value per case ($)]])+Table1438[[#This Row],[Region 2: Fixed Fee Per Case ($)]]</f>
        <v>0</v>
      </c>
      <c r="W4" s="71" t="e">
        <f>(Table1438[[#This Row],[Commercial Bid Price per case for NOI ($)]]+Table1438[[#This Row],[Region 2: Fixed Fee Per Case ($)]])/Table1438[[#This Row],['# of CN Servings per case]]</f>
        <v>#DIV/0!</v>
      </c>
      <c r="X4" s="72" t="e">
        <f>Table1438[[#This Row],[Total Cost Per Serving (O+Q)/J]]*Table1438[[#This Row],[Estimated Servings Annual]]</f>
        <v>#DIV/0!</v>
      </c>
    </row>
    <row r="5" spans="1:24" x14ac:dyDescent="0.35">
      <c r="A5" s="30" t="s">
        <v>29</v>
      </c>
      <c r="B5" s="28" t="s">
        <v>133</v>
      </c>
      <c r="C5" s="7" t="s">
        <v>12</v>
      </c>
      <c r="D5" s="7"/>
      <c r="E5" s="7"/>
      <c r="F5" s="7"/>
      <c r="G5" s="7"/>
      <c r="H5" s="7"/>
      <c r="I5" s="7"/>
      <c r="J5" s="7"/>
      <c r="K5" s="49">
        <v>800000</v>
      </c>
      <c r="L5" s="7"/>
      <c r="M5" s="7"/>
      <c r="N5" s="7"/>
      <c r="O5" s="7"/>
      <c r="P5" s="7"/>
      <c r="Q5" s="7"/>
      <c r="R5" s="7"/>
      <c r="S5" s="70">
        <f>(Table1438[[#This Row],[Commercial Bid Price per case for NOI ($)]]-Table1438[[#This Row],[Pass-Thru Value per case ($)]])+Table1438[[#This Row],[Region 1: Fixed Fee Per Case ($)]]</f>
        <v>0</v>
      </c>
      <c r="T5" s="71" t="e">
        <f>(Table1438[[#This Row],[Commercial Bid Price per case for NOI ($)]]+Table1438[[#This Row],[Region 1: Fixed Fee Per Case ($)]])/Table1438[[#This Row],['# of CN Servings per case]]</f>
        <v>#DIV/0!</v>
      </c>
      <c r="U5" s="71" t="e">
        <f>Table1438[[#This Row],[Total Cost Per Serving (O+P)/J]]*Table1438[[#This Row],[Estimated Servings Annual]]</f>
        <v>#DIV/0!</v>
      </c>
      <c r="V5" s="70">
        <f>(Table1438[[#This Row],[Commercial Bid Price per case for NOI ($)]]-Table1438[[#This Row],[Pass-Thru Value per case ($)]])+Table1438[[#This Row],[Region 2: Fixed Fee Per Case ($)]]</f>
        <v>0</v>
      </c>
      <c r="W5" s="71" t="e">
        <f>(Table1438[[#This Row],[Commercial Bid Price per case for NOI ($)]]+Table1438[[#This Row],[Region 2: Fixed Fee Per Case ($)]])/Table1438[[#This Row],['# of CN Servings per case]]</f>
        <v>#DIV/0!</v>
      </c>
      <c r="X5" s="72" t="e">
        <f>Table1438[[#This Row],[Total Cost Per Serving (O+Q)/J]]*Table1438[[#This Row],[Estimated Servings Annual]]</f>
        <v>#DIV/0!</v>
      </c>
    </row>
    <row r="6" spans="1:24" x14ac:dyDescent="0.35">
      <c r="A6" s="30" t="s">
        <v>29</v>
      </c>
      <c r="B6" s="28" t="s">
        <v>133</v>
      </c>
      <c r="C6" s="7" t="s">
        <v>12</v>
      </c>
      <c r="D6" s="7"/>
      <c r="E6" s="7"/>
      <c r="F6" s="7"/>
      <c r="G6" s="7"/>
      <c r="H6" s="7"/>
      <c r="I6" s="7"/>
      <c r="J6" s="7"/>
      <c r="K6" s="49">
        <v>800000</v>
      </c>
      <c r="L6" s="7"/>
      <c r="M6" s="7"/>
      <c r="N6" s="7"/>
      <c r="O6" s="7"/>
      <c r="P6" s="7"/>
      <c r="Q6" s="7"/>
      <c r="R6" s="7"/>
      <c r="S6" s="70">
        <f>(Table1438[[#This Row],[Commercial Bid Price per case for NOI ($)]]-Table1438[[#This Row],[Pass-Thru Value per case ($)]])+Table1438[[#This Row],[Region 1: Fixed Fee Per Case ($)]]</f>
        <v>0</v>
      </c>
      <c r="T6" s="71" t="e">
        <f>(Table1438[[#This Row],[Commercial Bid Price per case for NOI ($)]]+Table1438[[#This Row],[Region 1: Fixed Fee Per Case ($)]])/Table1438[[#This Row],['# of CN Servings per case]]</f>
        <v>#DIV/0!</v>
      </c>
      <c r="U6" s="71" t="e">
        <f>Table1438[[#This Row],[Total Cost Per Serving (O+P)/J]]*Table1438[[#This Row],[Estimated Servings Annual]]</f>
        <v>#DIV/0!</v>
      </c>
      <c r="V6" s="70">
        <f>(Table1438[[#This Row],[Commercial Bid Price per case for NOI ($)]]-Table1438[[#This Row],[Pass-Thru Value per case ($)]])+Table1438[[#This Row],[Region 2: Fixed Fee Per Case ($)]]</f>
        <v>0</v>
      </c>
      <c r="W6" s="71" t="e">
        <f>(Table1438[[#This Row],[Commercial Bid Price per case for NOI ($)]]+Table1438[[#This Row],[Region 2: Fixed Fee Per Case ($)]])/Table1438[[#This Row],['# of CN Servings per case]]</f>
        <v>#DIV/0!</v>
      </c>
      <c r="X6" s="72" t="e">
        <f>Table1438[[#This Row],[Total Cost Per Serving (O+Q)/J]]*Table1438[[#This Row],[Estimated Servings Annual]]</f>
        <v>#DIV/0!</v>
      </c>
    </row>
    <row r="7" spans="1:24" x14ac:dyDescent="0.35">
      <c r="A7" s="30" t="s">
        <v>29</v>
      </c>
      <c r="B7" s="28" t="s">
        <v>133</v>
      </c>
      <c r="C7" s="7" t="s">
        <v>13</v>
      </c>
      <c r="D7" s="7"/>
      <c r="E7" s="7"/>
      <c r="F7" s="7"/>
      <c r="G7" s="7"/>
      <c r="H7" s="7"/>
      <c r="I7" s="7"/>
      <c r="J7" s="7"/>
      <c r="K7" s="49">
        <v>800000</v>
      </c>
      <c r="L7" s="7"/>
      <c r="M7" s="7"/>
      <c r="N7" s="7"/>
      <c r="O7" s="7"/>
      <c r="P7" s="7"/>
      <c r="Q7" s="7"/>
      <c r="R7" s="7"/>
      <c r="S7" s="70">
        <f>(Table1438[[#This Row],[Commercial Bid Price per case for NOI ($)]]-Table1438[[#This Row],[Pass-Thru Value per case ($)]])+Table1438[[#This Row],[Region 1: Fixed Fee Per Case ($)]]</f>
        <v>0</v>
      </c>
      <c r="T7" s="71" t="e">
        <f>(Table1438[[#This Row],[Commercial Bid Price per case for NOI ($)]]+Table1438[[#This Row],[Region 1: Fixed Fee Per Case ($)]])/Table1438[[#This Row],['# of CN Servings per case]]</f>
        <v>#DIV/0!</v>
      </c>
      <c r="U7" s="71" t="e">
        <f>Table1438[[#This Row],[Total Cost Per Serving (O+P)/J]]*Table1438[[#This Row],[Estimated Servings Annual]]</f>
        <v>#DIV/0!</v>
      </c>
      <c r="V7" s="70">
        <f>(Table1438[[#This Row],[Commercial Bid Price per case for NOI ($)]]-Table1438[[#This Row],[Pass-Thru Value per case ($)]])+Table1438[[#This Row],[Region 2: Fixed Fee Per Case ($)]]</f>
        <v>0</v>
      </c>
      <c r="W7" s="71" t="e">
        <f>(Table1438[[#This Row],[Commercial Bid Price per case for NOI ($)]]+Table1438[[#This Row],[Region 2: Fixed Fee Per Case ($)]])/Table1438[[#This Row],['# of CN Servings per case]]</f>
        <v>#DIV/0!</v>
      </c>
      <c r="X7" s="72" t="e">
        <f>Table1438[[#This Row],[Total Cost Per Serving (O+Q)/J]]*Table1438[[#This Row],[Estimated Servings Annual]]</f>
        <v>#DIV/0!</v>
      </c>
    </row>
    <row r="8" spans="1:24" x14ac:dyDescent="0.35">
      <c r="A8" s="30" t="s">
        <v>29</v>
      </c>
      <c r="B8" s="28" t="s">
        <v>133</v>
      </c>
      <c r="C8" s="7" t="s">
        <v>13</v>
      </c>
      <c r="D8" s="7"/>
      <c r="E8" s="7"/>
      <c r="F8" s="7"/>
      <c r="G8" s="7"/>
      <c r="H8" s="7"/>
      <c r="I8" s="7"/>
      <c r="J8" s="7"/>
      <c r="K8" s="49">
        <v>800000</v>
      </c>
      <c r="L8" s="7"/>
      <c r="M8" s="7"/>
      <c r="N8" s="7"/>
      <c r="O8" s="7"/>
      <c r="P8" s="7"/>
      <c r="Q8" s="7"/>
      <c r="R8" s="7"/>
      <c r="S8" s="70">
        <f>(Table1438[[#This Row],[Commercial Bid Price per case for NOI ($)]]-Table1438[[#This Row],[Pass-Thru Value per case ($)]])+Table1438[[#This Row],[Region 1: Fixed Fee Per Case ($)]]</f>
        <v>0</v>
      </c>
      <c r="T8" s="71" t="e">
        <f>(Table1438[[#This Row],[Commercial Bid Price per case for NOI ($)]]+Table1438[[#This Row],[Region 1: Fixed Fee Per Case ($)]])/Table1438[[#This Row],['# of CN Servings per case]]</f>
        <v>#DIV/0!</v>
      </c>
      <c r="U8" s="71" t="e">
        <f>Table1438[[#This Row],[Total Cost Per Serving (O+P)/J]]*Table1438[[#This Row],[Estimated Servings Annual]]</f>
        <v>#DIV/0!</v>
      </c>
      <c r="V8" s="70">
        <f>(Table1438[[#This Row],[Commercial Bid Price per case for NOI ($)]]-Table1438[[#This Row],[Pass-Thru Value per case ($)]])+Table1438[[#This Row],[Region 2: Fixed Fee Per Case ($)]]</f>
        <v>0</v>
      </c>
      <c r="W8" s="71" t="e">
        <f>(Table1438[[#This Row],[Commercial Bid Price per case for NOI ($)]]+Table1438[[#This Row],[Region 2: Fixed Fee Per Case ($)]])/Table1438[[#This Row],['# of CN Servings per case]]</f>
        <v>#DIV/0!</v>
      </c>
      <c r="X8" s="72" t="e">
        <f>Table1438[[#This Row],[Total Cost Per Serving (O+Q)/J]]*Table1438[[#This Row],[Estimated Servings Annual]]</f>
        <v>#DIV/0!</v>
      </c>
    </row>
    <row r="9" spans="1:24" x14ac:dyDescent="0.35">
      <c r="A9" s="30" t="s">
        <v>29</v>
      </c>
      <c r="B9" s="28" t="s">
        <v>133</v>
      </c>
      <c r="C9" s="7" t="s">
        <v>13</v>
      </c>
      <c r="D9" s="7"/>
      <c r="E9" s="7"/>
      <c r="F9" s="7"/>
      <c r="G9" s="7"/>
      <c r="H9" s="7"/>
      <c r="I9" s="7"/>
      <c r="J9" s="7"/>
      <c r="K9" s="49">
        <v>800000</v>
      </c>
      <c r="L9" s="7"/>
      <c r="M9" s="7"/>
      <c r="N9" s="7"/>
      <c r="O9" s="7"/>
      <c r="P9" s="7"/>
      <c r="Q9" s="7"/>
      <c r="R9" s="7"/>
      <c r="S9" s="70">
        <f>(Table1438[[#This Row],[Commercial Bid Price per case for NOI ($)]]-Table1438[[#This Row],[Pass-Thru Value per case ($)]])+Table1438[[#This Row],[Region 1: Fixed Fee Per Case ($)]]</f>
        <v>0</v>
      </c>
      <c r="T9" s="71" t="e">
        <f>(Table1438[[#This Row],[Commercial Bid Price per case for NOI ($)]]+Table1438[[#This Row],[Region 1: Fixed Fee Per Case ($)]])/Table1438[[#This Row],['# of CN Servings per case]]</f>
        <v>#DIV/0!</v>
      </c>
      <c r="U9" s="71" t="e">
        <f>Table1438[[#This Row],[Total Cost Per Serving (O+P)/J]]*Table1438[[#This Row],[Estimated Servings Annual]]</f>
        <v>#DIV/0!</v>
      </c>
      <c r="V9" s="70">
        <f>(Table1438[[#This Row],[Commercial Bid Price per case for NOI ($)]]-Table1438[[#This Row],[Pass-Thru Value per case ($)]])+Table1438[[#This Row],[Region 2: Fixed Fee Per Case ($)]]</f>
        <v>0</v>
      </c>
      <c r="W9" s="71" t="e">
        <f>(Table1438[[#This Row],[Commercial Bid Price per case for NOI ($)]]+Table1438[[#This Row],[Region 2: Fixed Fee Per Case ($)]])/Table1438[[#This Row],['# of CN Servings per case]]</f>
        <v>#DIV/0!</v>
      </c>
      <c r="X9" s="72" t="e">
        <f>Table1438[[#This Row],[Total Cost Per Serving (O+Q)/J]]*Table1438[[#This Row],[Estimated Servings Annual]]</f>
        <v>#DIV/0!</v>
      </c>
    </row>
    <row r="10" spans="1:24" ht="15" thickBot="1" x14ac:dyDescent="0.4">
      <c r="A10" s="30" t="s">
        <v>29</v>
      </c>
      <c r="B10" s="28" t="s">
        <v>133</v>
      </c>
      <c r="C10" s="8" t="s">
        <v>13</v>
      </c>
      <c r="D10" s="8"/>
      <c r="E10" s="8"/>
      <c r="F10" s="8"/>
      <c r="G10" s="8"/>
      <c r="H10" s="8"/>
      <c r="I10" s="8"/>
      <c r="J10" s="8"/>
      <c r="K10" s="50">
        <v>800000</v>
      </c>
      <c r="L10" s="8"/>
      <c r="M10" s="8"/>
      <c r="N10" s="8"/>
      <c r="O10" s="8"/>
      <c r="P10" s="8"/>
      <c r="Q10" s="8"/>
      <c r="R10" s="8"/>
      <c r="S10" s="73">
        <f>(Table1438[[#This Row],[Commercial Bid Price per case for NOI ($)]]-Table1438[[#This Row],[Pass-Thru Value per case ($)]])+Table1438[[#This Row],[Region 1: Fixed Fee Per Case ($)]]</f>
        <v>0</v>
      </c>
      <c r="T10" s="74" t="e">
        <f>(Table1438[[#This Row],[Commercial Bid Price per case for NOI ($)]]+Table1438[[#This Row],[Region 1: Fixed Fee Per Case ($)]])/Table1438[[#This Row],['# of CN Servings per case]]</f>
        <v>#DIV/0!</v>
      </c>
      <c r="U10" s="74" t="e">
        <f>Table1438[[#This Row],[Total Cost Per Serving (O+P)/J]]*Table1438[[#This Row],[Estimated Servings Annual]]</f>
        <v>#DIV/0!</v>
      </c>
      <c r="V10" s="73">
        <f>(Table1438[[#This Row],[Commercial Bid Price per case for NOI ($)]]-Table1438[[#This Row],[Pass-Thru Value per case ($)]])+Table1438[[#This Row],[Region 2: Fixed Fee Per Case ($)]]</f>
        <v>0</v>
      </c>
      <c r="W10" s="74" t="e">
        <f>(Table1438[[#This Row],[Commercial Bid Price per case for NOI ($)]]+Table1438[[#This Row],[Region 2: Fixed Fee Per Case ($)]])/Table1438[[#This Row],['# of CN Servings per case]]</f>
        <v>#DIV/0!</v>
      </c>
      <c r="X10" s="75" t="e">
        <f>Table1438[[#This Row],[Total Cost Per Serving (O+Q)/J]]*Table1438[[#This Row],[Estimated Servings Annual]]</f>
        <v>#DIV/0!</v>
      </c>
    </row>
    <row r="11" spans="1:24" x14ac:dyDescent="0.35">
      <c r="A11" s="30" t="s">
        <v>29</v>
      </c>
      <c r="B11" s="42" t="s">
        <v>134</v>
      </c>
      <c r="C11" s="6" t="s">
        <v>60</v>
      </c>
      <c r="D11" s="6"/>
      <c r="E11" s="6"/>
      <c r="F11" s="6"/>
      <c r="G11" s="6"/>
      <c r="H11" s="6"/>
      <c r="I11" s="6"/>
      <c r="J11" s="6"/>
      <c r="K11" s="48">
        <v>550000</v>
      </c>
      <c r="L11" s="6"/>
      <c r="M11" s="6"/>
      <c r="N11" s="6"/>
      <c r="O11" s="6"/>
      <c r="P11" s="6"/>
      <c r="Q11" s="6"/>
      <c r="R11" s="6"/>
      <c r="S11" s="67">
        <f>(Table1438[[#This Row],[Commercial Bid Price per case for NOI ($)]]-Table1438[[#This Row],[Pass-Thru Value per case ($)]])+Table1438[[#This Row],[Region 1: Fixed Fee Per Case ($)]]</f>
        <v>0</v>
      </c>
      <c r="T11" s="68" t="e">
        <f>(Table1438[[#This Row],[Commercial Bid Price per case for NOI ($)]]+Table1438[[#This Row],[Region 1: Fixed Fee Per Case ($)]])/Table1438[[#This Row],['# of CN Servings per case]]</f>
        <v>#DIV/0!</v>
      </c>
      <c r="U11" s="68" t="e">
        <f>Table1438[[#This Row],[Total Cost Per Serving (O+P)/J]]*Table1438[[#This Row],[Estimated Servings Annual]]</f>
        <v>#DIV/0!</v>
      </c>
      <c r="V11" s="67">
        <f>(Table1438[[#This Row],[Commercial Bid Price per case for NOI ($)]]-Table1438[[#This Row],[Pass-Thru Value per case ($)]])+Table1438[[#This Row],[Region 2: Fixed Fee Per Case ($)]]</f>
        <v>0</v>
      </c>
      <c r="W11" s="68" t="e">
        <f>(Table1438[[#This Row],[Commercial Bid Price per case for NOI ($)]]+Table1438[[#This Row],[Region 2: Fixed Fee Per Case ($)]])/Table1438[[#This Row],['# of CN Servings per case]]</f>
        <v>#DIV/0!</v>
      </c>
      <c r="X11" s="69" t="e">
        <f>Table1438[[#This Row],[Total Cost Per Serving (O+Q)/J]]*Table1438[[#This Row],[Estimated Servings Annual]]</f>
        <v>#DIV/0!</v>
      </c>
    </row>
    <row r="12" spans="1:24" x14ac:dyDescent="0.35">
      <c r="A12" s="30" t="s">
        <v>29</v>
      </c>
      <c r="B12" s="28" t="s">
        <v>134</v>
      </c>
      <c r="C12" s="7" t="s">
        <v>60</v>
      </c>
      <c r="D12" s="7"/>
      <c r="E12" s="7"/>
      <c r="F12" s="7"/>
      <c r="G12" s="7"/>
      <c r="H12" s="7"/>
      <c r="I12" s="7"/>
      <c r="J12" s="7"/>
      <c r="K12" s="49">
        <v>550000</v>
      </c>
      <c r="L12" s="7"/>
      <c r="M12" s="7"/>
      <c r="N12" s="7"/>
      <c r="O12" s="7"/>
      <c r="P12" s="7"/>
      <c r="Q12" s="7"/>
      <c r="R12" s="7"/>
      <c r="S12" s="70">
        <f>(Table1438[[#This Row],[Commercial Bid Price per case for NOI ($)]]-Table1438[[#This Row],[Pass-Thru Value per case ($)]])+Table1438[[#This Row],[Region 1: Fixed Fee Per Case ($)]]</f>
        <v>0</v>
      </c>
      <c r="T12" s="71" t="e">
        <f>(Table1438[[#This Row],[Commercial Bid Price per case for NOI ($)]]+Table1438[[#This Row],[Region 1: Fixed Fee Per Case ($)]])/Table1438[[#This Row],['# of CN Servings per case]]</f>
        <v>#DIV/0!</v>
      </c>
      <c r="U12" s="71" t="e">
        <f>Table1438[[#This Row],[Total Cost Per Serving (O+P)/J]]*Table1438[[#This Row],[Estimated Servings Annual]]</f>
        <v>#DIV/0!</v>
      </c>
      <c r="V12" s="70">
        <f>(Table1438[[#This Row],[Commercial Bid Price per case for NOI ($)]]-Table1438[[#This Row],[Pass-Thru Value per case ($)]])+Table1438[[#This Row],[Region 2: Fixed Fee Per Case ($)]]</f>
        <v>0</v>
      </c>
      <c r="W12" s="71" t="e">
        <f>(Table1438[[#This Row],[Commercial Bid Price per case for NOI ($)]]+Table1438[[#This Row],[Region 2: Fixed Fee Per Case ($)]])/Table1438[[#This Row],['# of CN Servings per case]]</f>
        <v>#DIV/0!</v>
      </c>
      <c r="X12" s="72" t="e">
        <f>Table1438[[#This Row],[Total Cost Per Serving (O+Q)/J]]*Table1438[[#This Row],[Estimated Servings Annual]]</f>
        <v>#DIV/0!</v>
      </c>
    </row>
    <row r="13" spans="1:24" x14ac:dyDescent="0.35">
      <c r="A13" s="30" t="s">
        <v>29</v>
      </c>
      <c r="B13" s="28" t="s">
        <v>134</v>
      </c>
      <c r="C13" s="7" t="s">
        <v>12</v>
      </c>
      <c r="D13" s="7"/>
      <c r="E13" s="7"/>
      <c r="F13" s="7"/>
      <c r="G13" s="7"/>
      <c r="H13" s="7"/>
      <c r="I13" s="7"/>
      <c r="J13" s="7"/>
      <c r="K13" s="49">
        <v>550000</v>
      </c>
      <c r="L13" s="7"/>
      <c r="M13" s="7"/>
      <c r="N13" s="7"/>
      <c r="O13" s="7"/>
      <c r="P13" s="7"/>
      <c r="Q13" s="7"/>
      <c r="R13" s="7"/>
      <c r="S13" s="70">
        <f>(Table1438[[#This Row],[Commercial Bid Price per case for NOI ($)]]-Table1438[[#This Row],[Pass-Thru Value per case ($)]])+Table1438[[#This Row],[Region 1: Fixed Fee Per Case ($)]]</f>
        <v>0</v>
      </c>
      <c r="T13" s="71" t="e">
        <f>(Table1438[[#This Row],[Commercial Bid Price per case for NOI ($)]]+Table1438[[#This Row],[Region 1: Fixed Fee Per Case ($)]])/Table1438[[#This Row],['# of CN Servings per case]]</f>
        <v>#DIV/0!</v>
      </c>
      <c r="U13" s="71" t="e">
        <f>Table1438[[#This Row],[Total Cost Per Serving (O+P)/J]]*Table1438[[#This Row],[Estimated Servings Annual]]</f>
        <v>#DIV/0!</v>
      </c>
      <c r="V13" s="70">
        <f>(Table1438[[#This Row],[Commercial Bid Price per case for NOI ($)]]-Table1438[[#This Row],[Pass-Thru Value per case ($)]])+Table1438[[#This Row],[Region 2: Fixed Fee Per Case ($)]]</f>
        <v>0</v>
      </c>
      <c r="W13" s="71" t="e">
        <f>(Table1438[[#This Row],[Commercial Bid Price per case for NOI ($)]]+Table1438[[#This Row],[Region 2: Fixed Fee Per Case ($)]])/Table1438[[#This Row],['# of CN Servings per case]]</f>
        <v>#DIV/0!</v>
      </c>
      <c r="X13" s="72" t="e">
        <f>Table1438[[#This Row],[Total Cost Per Serving (O+Q)/J]]*Table1438[[#This Row],[Estimated Servings Annual]]</f>
        <v>#DIV/0!</v>
      </c>
    </row>
    <row r="14" spans="1:24" x14ac:dyDescent="0.35">
      <c r="A14" s="30" t="s">
        <v>29</v>
      </c>
      <c r="B14" s="28" t="s">
        <v>134</v>
      </c>
      <c r="C14" s="7" t="s">
        <v>12</v>
      </c>
      <c r="D14" s="7"/>
      <c r="E14" s="7"/>
      <c r="F14" s="7"/>
      <c r="G14" s="7"/>
      <c r="H14" s="7"/>
      <c r="I14" s="7"/>
      <c r="J14" s="7"/>
      <c r="K14" s="49">
        <v>550000</v>
      </c>
      <c r="L14" s="7"/>
      <c r="M14" s="7"/>
      <c r="N14" s="7"/>
      <c r="O14" s="7"/>
      <c r="P14" s="7"/>
      <c r="Q14" s="7"/>
      <c r="R14" s="7"/>
      <c r="S14" s="70">
        <f>(Table1438[[#This Row],[Commercial Bid Price per case for NOI ($)]]-Table1438[[#This Row],[Pass-Thru Value per case ($)]])+Table1438[[#This Row],[Region 1: Fixed Fee Per Case ($)]]</f>
        <v>0</v>
      </c>
      <c r="T14" s="71" t="e">
        <f>(Table1438[[#This Row],[Commercial Bid Price per case for NOI ($)]]+Table1438[[#This Row],[Region 1: Fixed Fee Per Case ($)]])/Table1438[[#This Row],['# of CN Servings per case]]</f>
        <v>#DIV/0!</v>
      </c>
      <c r="U14" s="71" t="e">
        <f>Table1438[[#This Row],[Total Cost Per Serving (O+P)/J]]*Table1438[[#This Row],[Estimated Servings Annual]]</f>
        <v>#DIV/0!</v>
      </c>
      <c r="V14" s="70">
        <f>(Table1438[[#This Row],[Commercial Bid Price per case for NOI ($)]]-Table1438[[#This Row],[Pass-Thru Value per case ($)]])+Table1438[[#This Row],[Region 2: Fixed Fee Per Case ($)]]</f>
        <v>0</v>
      </c>
      <c r="W14" s="71" t="e">
        <f>(Table1438[[#This Row],[Commercial Bid Price per case for NOI ($)]]+Table1438[[#This Row],[Region 2: Fixed Fee Per Case ($)]])/Table1438[[#This Row],['# of CN Servings per case]]</f>
        <v>#DIV/0!</v>
      </c>
      <c r="X14" s="72" t="e">
        <f>Table1438[[#This Row],[Total Cost Per Serving (O+Q)/J]]*Table1438[[#This Row],[Estimated Servings Annual]]</f>
        <v>#DIV/0!</v>
      </c>
    </row>
    <row r="15" spans="1:24" x14ac:dyDescent="0.35">
      <c r="A15" s="30" t="s">
        <v>29</v>
      </c>
      <c r="B15" s="28" t="s">
        <v>134</v>
      </c>
      <c r="C15" s="7" t="s">
        <v>13</v>
      </c>
      <c r="D15" s="7"/>
      <c r="E15" s="7"/>
      <c r="F15" s="7"/>
      <c r="G15" s="7"/>
      <c r="H15" s="7"/>
      <c r="I15" s="7"/>
      <c r="J15" s="7"/>
      <c r="K15" s="49">
        <v>550000</v>
      </c>
      <c r="L15" s="7"/>
      <c r="M15" s="7"/>
      <c r="N15" s="7"/>
      <c r="O15" s="7"/>
      <c r="P15" s="7"/>
      <c r="Q15" s="7"/>
      <c r="R15" s="7"/>
      <c r="S15" s="70">
        <f>(Table1438[[#This Row],[Commercial Bid Price per case for NOI ($)]]-Table1438[[#This Row],[Pass-Thru Value per case ($)]])+Table1438[[#This Row],[Region 1: Fixed Fee Per Case ($)]]</f>
        <v>0</v>
      </c>
      <c r="T15" s="71" t="e">
        <f>(Table1438[[#This Row],[Commercial Bid Price per case for NOI ($)]]+Table1438[[#This Row],[Region 1: Fixed Fee Per Case ($)]])/Table1438[[#This Row],['# of CN Servings per case]]</f>
        <v>#DIV/0!</v>
      </c>
      <c r="U15" s="71" t="e">
        <f>Table1438[[#This Row],[Total Cost Per Serving (O+P)/J]]*Table1438[[#This Row],[Estimated Servings Annual]]</f>
        <v>#DIV/0!</v>
      </c>
      <c r="V15" s="70">
        <f>(Table1438[[#This Row],[Commercial Bid Price per case for NOI ($)]]-Table1438[[#This Row],[Pass-Thru Value per case ($)]])+Table1438[[#This Row],[Region 2: Fixed Fee Per Case ($)]]</f>
        <v>0</v>
      </c>
      <c r="W15" s="71" t="e">
        <f>(Table1438[[#This Row],[Commercial Bid Price per case for NOI ($)]]+Table1438[[#This Row],[Region 2: Fixed Fee Per Case ($)]])/Table1438[[#This Row],['# of CN Servings per case]]</f>
        <v>#DIV/0!</v>
      </c>
      <c r="X15" s="72" t="e">
        <f>Table1438[[#This Row],[Total Cost Per Serving (O+Q)/J]]*Table1438[[#This Row],[Estimated Servings Annual]]</f>
        <v>#DIV/0!</v>
      </c>
    </row>
    <row r="16" spans="1:24" x14ac:dyDescent="0.35">
      <c r="A16" s="30" t="s">
        <v>29</v>
      </c>
      <c r="B16" s="28" t="s">
        <v>134</v>
      </c>
      <c r="C16" s="7" t="s">
        <v>13</v>
      </c>
      <c r="D16" s="7"/>
      <c r="E16" s="7"/>
      <c r="F16" s="7"/>
      <c r="G16" s="7"/>
      <c r="H16" s="7"/>
      <c r="I16" s="7"/>
      <c r="J16" s="7"/>
      <c r="K16" s="49">
        <v>550000</v>
      </c>
      <c r="L16" s="7"/>
      <c r="M16" s="7"/>
      <c r="N16" s="7"/>
      <c r="O16" s="7"/>
      <c r="P16" s="7"/>
      <c r="Q16" s="7"/>
      <c r="R16" s="7"/>
      <c r="S16" s="70">
        <f>(Table1438[[#This Row],[Commercial Bid Price per case for NOI ($)]]-Table1438[[#This Row],[Pass-Thru Value per case ($)]])+Table1438[[#This Row],[Region 1: Fixed Fee Per Case ($)]]</f>
        <v>0</v>
      </c>
      <c r="T16" s="71" t="e">
        <f>(Table1438[[#This Row],[Commercial Bid Price per case for NOI ($)]]+Table1438[[#This Row],[Region 1: Fixed Fee Per Case ($)]])/Table1438[[#This Row],['# of CN Servings per case]]</f>
        <v>#DIV/0!</v>
      </c>
      <c r="U16" s="71" t="e">
        <f>Table1438[[#This Row],[Total Cost Per Serving (O+P)/J]]*Table1438[[#This Row],[Estimated Servings Annual]]</f>
        <v>#DIV/0!</v>
      </c>
      <c r="V16" s="70">
        <f>(Table1438[[#This Row],[Commercial Bid Price per case for NOI ($)]]-Table1438[[#This Row],[Pass-Thru Value per case ($)]])+Table1438[[#This Row],[Region 2: Fixed Fee Per Case ($)]]</f>
        <v>0</v>
      </c>
      <c r="W16" s="71" t="e">
        <f>(Table1438[[#This Row],[Commercial Bid Price per case for NOI ($)]]+Table1438[[#This Row],[Region 2: Fixed Fee Per Case ($)]])/Table1438[[#This Row],['# of CN Servings per case]]</f>
        <v>#DIV/0!</v>
      </c>
      <c r="X16" s="72" t="e">
        <f>Table1438[[#This Row],[Total Cost Per Serving (O+Q)/J]]*Table1438[[#This Row],[Estimated Servings Annual]]</f>
        <v>#DIV/0!</v>
      </c>
    </row>
    <row r="17" spans="1:24" x14ac:dyDescent="0.35">
      <c r="A17" s="30" t="s">
        <v>29</v>
      </c>
      <c r="B17" s="28" t="s">
        <v>134</v>
      </c>
      <c r="C17" s="7" t="s">
        <v>13</v>
      </c>
      <c r="D17" s="7"/>
      <c r="E17" s="7"/>
      <c r="F17" s="7"/>
      <c r="G17" s="7"/>
      <c r="H17" s="7"/>
      <c r="I17" s="7"/>
      <c r="J17" s="7"/>
      <c r="K17" s="49">
        <v>550000</v>
      </c>
      <c r="L17" s="7"/>
      <c r="M17" s="7"/>
      <c r="N17" s="7"/>
      <c r="O17" s="7"/>
      <c r="P17" s="7"/>
      <c r="Q17" s="7"/>
      <c r="R17" s="7"/>
      <c r="S17" s="70">
        <f>(Table1438[[#This Row],[Commercial Bid Price per case for NOI ($)]]-Table1438[[#This Row],[Pass-Thru Value per case ($)]])+Table1438[[#This Row],[Region 1: Fixed Fee Per Case ($)]]</f>
        <v>0</v>
      </c>
      <c r="T17" s="71" t="e">
        <f>(Table1438[[#This Row],[Commercial Bid Price per case for NOI ($)]]+Table1438[[#This Row],[Region 1: Fixed Fee Per Case ($)]])/Table1438[[#This Row],['# of CN Servings per case]]</f>
        <v>#DIV/0!</v>
      </c>
      <c r="U17" s="71" t="e">
        <f>Table1438[[#This Row],[Total Cost Per Serving (O+P)/J]]*Table1438[[#This Row],[Estimated Servings Annual]]</f>
        <v>#DIV/0!</v>
      </c>
      <c r="V17" s="70">
        <f>(Table1438[[#This Row],[Commercial Bid Price per case for NOI ($)]]-Table1438[[#This Row],[Pass-Thru Value per case ($)]])+Table1438[[#This Row],[Region 2: Fixed Fee Per Case ($)]]</f>
        <v>0</v>
      </c>
      <c r="W17" s="71" t="e">
        <f>(Table1438[[#This Row],[Commercial Bid Price per case for NOI ($)]]+Table1438[[#This Row],[Region 2: Fixed Fee Per Case ($)]])/Table1438[[#This Row],['# of CN Servings per case]]</f>
        <v>#DIV/0!</v>
      </c>
      <c r="X17" s="72" t="e">
        <f>Table1438[[#This Row],[Total Cost Per Serving (O+Q)/J]]*Table1438[[#This Row],[Estimated Servings Annual]]</f>
        <v>#DIV/0!</v>
      </c>
    </row>
    <row r="18" spans="1:24" ht="15" thickBot="1" x14ac:dyDescent="0.4">
      <c r="A18" s="30" t="s">
        <v>29</v>
      </c>
      <c r="B18" s="28" t="s">
        <v>134</v>
      </c>
      <c r="C18" s="8" t="s">
        <v>13</v>
      </c>
      <c r="D18" s="8"/>
      <c r="E18" s="8"/>
      <c r="F18" s="8"/>
      <c r="G18" s="8"/>
      <c r="H18" s="8"/>
      <c r="I18" s="8"/>
      <c r="J18" s="8"/>
      <c r="K18" s="50">
        <v>550000</v>
      </c>
      <c r="L18" s="8"/>
      <c r="M18" s="8"/>
      <c r="N18" s="8"/>
      <c r="O18" s="8"/>
      <c r="P18" s="8"/>
      <c r="Q18" s="8"/>
      <c r="R18" s="8"/>
      <c r="S18" s="73">
        <f>(Table1438[[#This Row],[Commercial Bid Price per case for NOI ($)]]-Table1438[[#This Row],[Pass-Thru Value per case ($)]])+Table1438[[#This Row],[Region 1: Fixed Fee Per Case ($)]]</f>
        <v>0</v>
      </c>
      <c r="T18" s="74" t="e">
        <f>(Table1438[[#This Row],[Commercial Bid Price per case for NOI ($)]]+Table1438[[#This Row],[Region 1: Fixed Fee Per Case ($)]])/Table1438[[#This Row],['# of CN Servings per case]]</f>
        <v>#DIV/0!</v>
      </c>
      <c r="U18" s="74" t="e">
        <f>Table1438[[#This Row],[Total Cost Per Serving (O+P)/J]]*Table1438[[#This Row],[Estimated Servings Annual]]</f>
        <v>#DIV/0!</v>
      </c>
      <c r="V18" s="73">
        <f>(Table1438[[#This Row],[Commercial Bid Price per case for NOI ($)]]-Table1438[[#This Row],[Pass-Thru Value per case ($)]])+Table1438[[#This Row],[Region 2: Fixed Fee Per Case ($)]]</f>
        <v>0</v>
      </c>
      <c r="W18" s="74" t="e">
        <f>(Table1438[[#This Row],[Commercial Bid Price per case for NOI ($)]]+Table1438[[#This Row],[Region 2: Fixed Fee Per Case ($)]])/Table1438[[#This Row],['# of CN Servings per case]]</f>
        <v>#DIV/0!</v>
      </c>
      <c r="X18" s="75" t="e">
        <f>Table1438[[#This Row],[Total Cost Per Serving (O+Q)/J]]*Table1438[[#This Row],[Estimated Servings Annual]]</f>
        <v>#DIV/0!</v>
      </c>
    </row>
    <row r="19" spans="1:24" x14ac:dyDescent="0.35">
      <c r="A19" s="30" t="s">
        <v>29</v>
      </c>
      <c r="B19" s="42" t="s">
        <v>135</v>
      </c>
      <c r="C19" s="6" t="s">
        <v>60</v>
      </c>
      <c r="D19" s="6"/>
      <c r="E19" s="6"/>
      <c r="F19" s="6"/>
      <c r="G19" s="6"/>
      <c r="H19" s="6"/>
      <c r="I19" s="6"/>
      <c r="J19" s="6"/>
      <c r="K19" s="48">
        <v>900000</v>
      </c>
      <c r="L19" s="6"/>
      <c r="M19" s="6"/>
      <c r="N19" s="6"/>
      <c r="O19" s="6"/>
      <c r="P19" s="6"/>
      <c r="Q19" s="6"/>
      <c r="R19" s="6"/>
      <c r="S19" s="67">
        <f>(Table1438[[#This Row],[Commercial Bid Price per case for NOI ($)]]-Table1438[[#This Row],[Pass-Thru Value per case ($)]])+Table1438[[#This Row],[Region 1: Fixed Fee Per Case ($)]]</f>
        <v>0</v>
      </c>
      <c r="T19" s="68" t="e">
        <f>(Table1438[[#This Row],[Commercial Bid Price per case for NOI ($)]]+Table1438[[#This Row],[Region 1: Fixed Fee Per Case ($)]])/Table1438[[#This Row],['# of CN Servings per case]]</f>
        <v>#DIV/0!</v>
      </c>
      <c r="U19" s="68" t="e">
        <f>Table1438[[#This Row],[Total Cost Per Serving (O+P)/J]]*Table1438[[#This Row],[Estimated Servings Annual]]</f>
        <v>#DIV/0!</v>
      </c>
      <c r="V19" s="67">
        <f>(Table1438[[#This Row],[Commercial Bid Price per case for NOI ($)]]-Table1438[[#This Row],[Pass-Thru Value per case ($)]])+Table1438[[#This Row],[Region 2: Fixed Fee Per Case ($)]]</f>
        <v>0</v>
      </c>
      <c r="W19" s="68" t="e">
        <f>(Table1438[[#This Row],[Commercial Bid Price per case for NOI ($)]]+Table1438[[#This Row],[Region 2: Fixed Fee Per Case ($)]])/Table1438[[#This Row],['# of CN Servings per case]]</f>
        <v>#DIV/0!</v>
      </c>
      <c r="X19" s="69" t="e">
        <f>Table1438[[#This Row],[Total Cost Per Serving (O+Q)/J]]*Table1438[[#This Row],[Estimated Servings Annual]]</f>
        <v>#DIV/0!</v>
      </c>
    </row>
    <row r="20" spans="1:24" x14ac:dyDescent="0.35">
      <c r="A20" s="30" t="s">
        <v>29</v>
      </c>
      <c r="B20" s="28" t="s">
        <v>135</v>
      </c>
      <c r="C20" s="7" t="s">
        <v>60</v>
      </c>
      <c r="D20" s="7"/>
      <c r="E20" s="7"/>
      <c r="F20" s="7"/>
      <c r="G20" s="7"/>
      <c r="H20" s="7"/>
      <c r="I20" s="7"/>
      <c r="J20" s="7"/>
      <c r="K20" s="49">
        <v>900000</v>
      </c>
      <c r="L20" s="7"/>
      <c r="M20" s="7"/>
      <c r="N20" s="7"/>
      <c r="O20" s="7"/>
      <c r="P20" s="7"/>
      <c r="Q20" s="7"/>
      <c r="R20" s="7"/>
      <c r="S20" s="70">
        <f>(Table1438[[#This Row],[Commercial Bid Price per case for NOI ($)]]-Table1438[[#This Row],[Pass-Thru Value per case ($)]])+Table1438[[#This Row],[Region 1: Fixed Fee Per Case ($)]]</f>
        <v>0</v>
      </c>
      <c r="T20" s="71" t="e">
        <f>(Table1438[[#This Row],[Commercial Bid Price per case for NOI ($)]]+Table1438[[#This Row],[Region 1: Fixed Fee Per Case ($)]])/Table1438[[#This Row],['# of CN Servings per case]]</f>
        <v>#DIV/0!</v>
      </c>
      <c r="U20" s="71" t="e">
        <f>Table1438[[#This Row],[Total Cost Per Serving (O+P)/J]]*Table1438[[#This Row],[Estimated Servings Annual]]</f>
        <v>#DIV/0!</v>
      </c>
      <c r="V20" s="70">
        <f>(Table1438[[#This Row],[Commercial Bid Price per case for NOI ($)]]-Table1438[[#This Row],[Pass-Thru Value per case ($)]])+Table1438[[#This Row],[Region 2: Fixed Fee Per Case ($)]]</f>
        <v>0</v>
      </c>
      <c r="W20" s="71" t="e">
        <f>(Table1438[[#This Row],[Commercial Bid Price per case for NOI ($)]]+Table1438[[#This Row],[Region 2: Fixed Fee Per Case ($)]])/Table1438[[#This Row],['# of CN Servings per case]]</f>
        <v>#DIV/0!</v>
      </c>
      <c r="X20" s="72" t="e">
        <f>Table1438[[#This Row],[Total Cost Per Serving (O+Q)/J]]*Table1438[[#This Row],[Estimated Servings Annual]]</f>
        <v>#DIV/0!</v>
      </c>
    </row>
    <row r="21" spans="1:24" x14ac:dyDescent="0.35">
      <c r="A21" s="30" t="s">
        <v>29</v>
      </c>
      <c r="B21" s="28" t="s">
        <v>135</v>
      </c>
      <c r="C21" s="7" t="s">
        <v>12</v>
      </c>
      <c r="D21" s="7"/>
      <c r="E21" s="7"/>
      <c r="F21" s="7"/>
      <c r="G21" s="7"/>
      <c r="H21" s="7"/>
      <c r="I21" s="7"/>
      <c r="J21" s="7"/>
      <c r="K21" s="49">
        <v>900000</v>
      </c>
      <c r="L21" s="7"/>
      <c r="M21" s="7"/>
      <c r="N21" s="7"/>
      <c r="O21" s="7"/>
      <c r="P21" s="7"/>
      <c r="Q21" s="7"/>
      <c r="R21" s="7"/>
      <c r="S21" s="70">
        <f>(Table1438[[#This Row],[Commercial Bid Price per case for NOI ($)]]-Table1438[[#This Row],[Pass-Thru Value per case ($)]])+Table1438[[#This Row],[Region 1: Fixed Fee Per Case ($)]]</f>
        <v>0</v>
      </c>
      <c r="T21" s="71" t="e">
        <f>(Table1438[[#This Row],[Commercial Bid Price per case for NOI ($)]]+Table1438[[#This Row],[Region 1: Fixed Fee Per Case ($)]])/Table1438[[#This Row],['# of CN Servings per case]]</f>
        <v>#DIV/0!</v>
      </c>
      <c r="U21" s="71" t="e">
        <f>Table1438[[#This Row],[Total Cost Per Serving (O+P)/J]]*Table1438[[#This Row],[Estimated Servings Annual]]</f>
        <v>#DIV/0!</v>
      </c>
      <c r="V21" s="70">
        <f>(Table1438[[#This Row],[Commercial Bid Price per case for NOI ($)]]-Table1438[[#This Row],[Pass-Thru Value per case ($)]])+Table1438[[#This Row],[Region 2: Fixed Fee Per Case ($)]]</f>
        <v>0</v>
      </c>
      <c r="W21" s="71" t="e">
        <f>(Table1438[[#This Row],[Commercial Bid Price per case for NOI ($)]]+Table1438[[#This Row],[Region 2: Fixed Fee Per Case ($)]])/Table1438[[#This Row],['# of CN Servings per case]]</f>
        <v>#DIV/0!</v>
      </c>
      <c r="X21" s="72" t="e">
        <f>Table1438[[#This Row],[Total Cost Per Serving (O+Q)/J]]*Table1438[[#This Row],[Estimated Servings Annual]]</f>
        <v>#DIV/0!</v>
      </c>
    </row>
    <row r="22" spans="1:24" x14ac:dyDescent="0.35">
      <c r="A22" s="30" t="s">
        <v>29</v>
      </c>
      <c r="B22" s="28" t="s">
        <v>135</v>
      </c>
      <c r="C22" s="7" t="s">
        <v>12</v>
      </c>
      <c r="D22" s="7"/>
      <c r="E22" s="7"/>
      <c r="F22" s="7"/>
      <c r="G22" s="7"/>
      <c r="H22" s="7"/>
      <c r="I22" s="7"/>
      <c r="J22" s="7"/>
      <c r="K22" s="49">
        <v>900000</v>
      </c>
      <c r="L22" s="7"/>
      <c r="M22" s="7"/>
      <c r="N22" s="7"/>
      <c r="O22" s="7"/>
      <c r="P22" s="7"/>
      <c r="Q22" s="7"/>
      <c r="R22" s="7"/>
      <c r="S22" s="70">
        <f>(Table1438[[#This Row],[Commercial Bid Price per case for NOI ($)]]-Table1438[[#This Row],[Pass-Thru Value per case ($)]])+Table1438[[#This Row],[Region 1: Fixed Fee Per Case ($)]]</f>
        <v>0</v>
      </c>
      <c r="T22" s="71" t="e">
        <f>(Table1438[[#This Row],[Commercial Bid Price per case for NOI ($)]]+Table1438[[#This Row],[Region 1: Fixed Fee Per Case ($)]])/Table1438[[#This Row],['# of CN Servings per case]]</f>
        <v>#DIV/0!</v>
      </c>
      <c r="U22" s="71" t="e">
        <f>Table1438[[#This Row],[Total Cost Per Serving (O+P)/J]]*Table1438[[#This Row],[Estimated Servings Annual]]</f>
        <v>#DIV/0!</v>
      </c>
      <c r="V22" s="70">
        <f>(Table1438[[#This Row],[Commercial Bid Price per case for NOI ($)]]-Table1438[[#This Row],[Pass-Thru Value per case ($)]])+Table1438[[#This Row],[Region 2: Fixed Fee Per Case ($)]]</f>
        <v>0</v>
      </c>
      <c r="W22" s="71" t="e">
        <f>(Table1438[[#This Row],[Commercial Bid Price per case for NOI ($)]]+Table1438[[#This Row],[Region 2: Fixed Fee Per Case ($)]])/Table1438[[#This Row],['# of CN Servings per case]]</f>
        <v>#DIV/0!</v>
      </c>
      <c r="X22" s="72" t="e">
        <f>Table1438[[#This Row],[Total Cost Per Serving (O+Q)/J]]*Table1438[[#This Row],[Estimated Servings Annual]]</f>
        <v>#DIV/0!</v>
      </c>
    </row>
    <row r="23" spans="1:24" x14ac:dyDescent="0.35">
      <c r="A23" s="30" t="s">
        <v>29</v>
      </c>
      <c r="B23" s="28" t="s">
        <v>135</v>
      </c>
      <c r="C23" s="7" t="s">
        <v>13</v>
      </c>
      <c r="D23" s="7"/>
      <c r="E23" s="7"/>
      <c r="F23" s="7"/>
      <c r="G23" s="7"/>
      <c r="H23" s="7"/>
      <c r="I23" s="7"/>
      <c r="J23" s="7"/>
      <c r="K23" s="49">
        <v>900000</v>
      </c>
      <c r="L23" s="7"/>
      <c r="M23" s="7"/>
      <c r="N23" s="7"/>
      <c r="O23" s="7"/>
      <c r="P23" s="7"/>
      <c r="Q23" s="7"/>
      <c r="R23" s="7"/>
      <c r="S23" s="70">
        <f>(Table1438[[#This Row],[Commercial Bid Price per case for NOI ($)]]-Table1438[[#This Row],[Pass-Thru Value per case ($)]])+Table1438[[#This Row],[Region 1: Fixed Fee Per Case ($)]]</f>
        <v>0</v>
      </c>
      <c r="T23" s="71" t="e">
        <f>(Table1438[[#This Row],[Commercial Bid Price per case for NOI ($)]]+Table1438[[#This Row],[Region 1: Fixed Fee Per Case ($)]])/Table1438[[#This Row],['# of CN Servings per case]]</f>
        <v>#DIV/0!</v>
      </c>
      <c r="U23" s="71" t="e">
        <f>Table1438[[#This Row],[Total Cost Per Serving (O+P)/J]]*Table1438[[#This Row],[Estimated Servings Annual]]</f>
        <v>#DIV/0!</v>
      </c>
      <c r="V23" s="70">
        <f>(Table1438[[#This Row],[Commercial Bid Price per case for NOI ($)]]-Table1438[[#This Row],[Pass-Thru Value per case ($)]])+Table1438[[#This Row],[Region 2: Fixed Fee Per Case ($)]]</f>
        <v>0</v>
      </c>
      <c r="W23" s="71" t="e">
        <f>(Table1438[[#This Row],[Commercial Bid Price per case for NOI ($)]]+Table1438[[#This Row],[Region 2: Fixed Fee Per Case ($)]])/Table1438[[#This Row],['# of CN Servings per case]]</f>
        <v>#DIV/0!</v>
      </c>
      <c r="X23" s="72" t="e">
        <f>Table1438[[#This Row],[Total Cost Per Serving (O+Q)/J]]*Table1438[[#This Row],[Estimated Servings Annual]]</f>
        <v>#DIV/0!</v>
      </c>
    </row>
    <row r="24" spans="1:24" x14ac:dyDescent="0.35">
      <c r="A24" s="30" t="s">
        <v>29</v>
      </c>
      <c r="B24" s="28" t="s">
        <v>135</v>
      </c>
      <c r="C24" s="7" t="s">
        <v>13</v>
      </c>
      <c r="D24" s="7"/>
      <c r="E24" s="7"/>
      <c r="F24" s="7"/>
      <c r="G24" s="7"/>
      <c r="H24" s="7"/>
      <c r="I24" s="7"/>
      <c r="J24" s="7"/>
      <c r="K24" s="49">
        <v>900000</v>
      </c>
      <c r="L24" s="7"/>
      <c r="M24" s="7"/>
      <c r="N24" s="7"/>
      <c r="O24" s="7"/>
      <c r="P24" s="7"/>
      <c r="Q24" s="7"/>
      <c r="R24" s="7"/>
      <c r="S24" s="70">
        <f>(Table1438[[#This Row],[Commercial Bid Price per case for NOI ($)]]-Table1438[[#This Row],[Pass-Thru Value per case ($)]])+Table1438[[#This Row],[Region 1: Fixed Fee Per Case ($)]]</f>
        <v>0</v>
      </c>
      <c r="T24" s="71" t="e">
        <f>(Table1438[[#This Row],[Commercial Bid Price per case for NOI ($)]]+Table1438[[#This Row],[Region 1: Fixed Fee Per Case ($)]])/Table1438[[#This Row],['# of CN Servings per case]]</f>
        <v>#DIV/0!</v>
      </c>
      <c r="U24" s="71" t="e">
        <f>Table1438[[#This Row],[Total Cost Per Serving (O+P)/J]]*Table1438[[#This Row],[Estimated Servings Annual]]</f>
        <v>#DIV/0!</v>
      </c>
      <c r="V24" s="70">
        <f>(Table1438[[#This Row],[Commercial Bid Price per case for NOI ($)]]-Table1438[[#This Row],[Pass-Thru Value per case ($)]])+Table1438[[#This Row],[Region 2: Fixed Fee Per Case ($)]]</f>
        <v>0</v>
      </c>
      <c r="W24" s="71" t="e">
        <f>(Table1438[[#This Row],[Commercial Bid Price per case for NOI ($)]]+Table1438[[#This Row],[Region 2: Fixed Fee Per Case ($)]])/Table1438[[#This Row],['# of CN Servings per case]]</f>
        <v>#DIV/0!</v>
      </c>
      <c r="X24" s="72" t="e">
        <f>Table1438[[#This Row],[Total Cost Per Serving (O+Q)/J]]*Table1438[[#This Row],[Estimated Servings Annual]]</f>
        <v>#DIV/0!</v>
      </c>
    </row>
    <row r="25" spans="1:24" x14ac:dyDescent="0.35">
      <c r="A25" s="30" t="s">
        <v>29</v>
      </c>
      <c r="B25" s="28" t="s">
        <v>135</v>
      </c>
      <c r="C25" s="7" t="s">
        <v>13</v>
      </c>
      <c r="D25" s="7"/>
      <c r="E25" s="7"/>
      <c r="F25" s="7"/>
      <c r="G25" s="7"/>
      <c r="H25" s="7"/>
      <c r="I25" s="7"/>
      <c r="J25" s="7"/>
      <c r="K25" s="49">
        <v>900000</v>
      </c>
      <c r="L25" s="7"/>
      <c r="M25" s="7"/>
      <c r="N25" s="7"/>
      <c r="O25" s="7"/>
      <c r="P25" s="7"/>
      <c r="Q25" s="7"/>
      <c r="R25" s="7"/>
      <c r="S25" s="70">
        <f>(Table1438[[#This Row],[Commercial Bid Price per case for NOI ($)]]-Table1438[[#This Row],[Pass-Thru Value per case ($)]])+Table1438[[#This Row],[Region 1: Fixed Fee Per Case ($)]]</f>
        <v>0</v>
      </c>
      <c r="T25" s="71" t="e">
        <f>(Table1438[[#This Row],[Commercial Bid Price per case for NOI ($)]]+Table1438[[#This Row],[Region 1: Fixed Fee Per Case ($)]])/Table1438[[#This Row],['# of CN Servings per case]]</f>
        <v>#DIV/0!</v>
      </c>
      <c r="U25" s="71" t="e">
        <f>Table1438[[#This Row],[Total Cost Per Serving (O+P)/J]]*Table1438[[#This Row],[Estimated Servings Annual]]</f>
        <v>#DIV/0!</v>
      </c>
      <c r="V25" s="70">
        <f>(Table1438[[#This Row],[Commercial Bid Price per case for NOI ($)]]-Table1438[[#This Row],[Pass-Thru Value per case ($)]])+Table1438[[#This Row],[Region 2: Fixed Fee Per Case ($)]]</f>
        <v>0</v>
      </c>
      <c r="W25" s="71" t="e">
        <f>(Table1438[[#This Row],[Commercial Bid Price per case for NOI ($)]]+Table1438[[#This Row],[Region 2: Fixed Fee Per Case ($)]])/Table1438[[#This Row],['# of CN Servings per case]]</f>
        <v>#DIV/0!</v>
      </c>
      <c r="X25" s="72" t="e">
        <f>Table1438[[#This Row],[Total Cost Per Serving (O+Q)/J]]*Table1438[[#This Row],[Estimated Servings Annual]]</f>
        <v>#DIV/0!</v>
      </c>
    </row>
    <row r="26" spans="1:24" ht="15" thickBot="1" x14ac:dyDescent="0.4">
      <c r="A26" s="30" t="s">
        <v>29</v>
      </c>
      <c r="B26" s="41" t="s">
        <v>135</v>
      </c>
      <c r="C26" s="8" t="s">
        <v>13</v>
      </c>
      <c r="D26" s="8"/>
      <c r="E26" s="8"/>
      <c r="F26" s="8"/>
      <c r="G26" s="8"/>
      <c r="H26" s="8"/>
      <c r="I26" s="8"/>
      <c r="J26" s="8"/>
      <c r="K26" s="50">
        <v>900000</v>
      </c>
      <c r="L26" s="8"/>
      <c r="M26" s="8"/>
      <c r="N26" s="8"/>
      <c r="O26" s="8"/>
      <c r="P26" s="8"/>
      <c r="Q26" s="8"/>
      <c r="R26" s="8"/>
      <c r="S26" s="73">
        <f>(Table1438[[#This Row],[Commercial Bid Price per case for NOI ($)]]-Table1438[[#This Row],[Pass-Thru Value per case ($)]])+Table1438[[#This Row],[Region 1: Fixed Fee Per Case ($)]]</f>
        <v>0</v>
      </c>
      <c r="T26" s="74" t="e">
        <f>(Table1438[[#This Row],[Commercial Bid Price per case for NOI ($)]]+Table1438[[#This Row],[Region 1: Fixed Fee Per Case ($)]])/Table1438[[#This Row],['# of CN Servings per case]]</f>
        <v>#DIV/0!</v>
      </c>
      <c r="U26" s="74" t="e">
        <f>Table1438[[#This Row],[Total Cost Per Serving (O+P)/J]]*Table1438[[#This Row],[Estimated Servings Annual]]</f>
        <v>#DIV/0!</v>
      </c>
      <c r="V26" s="73">
        <f>(Table1438[[#This Row],[Commercial Bid Price per case for NOI ($)]]-Table1438[[#This Row],[Pass-Thru Value per case ($)]])+Table1438[[#This Row],[Region 2: Fixed Fee Per Case ($)]]</f>
        <v>0</v>
      </c>
      <c r="W26" s="74" t="e">
        <f>(Table1438[[#This Row],[Commercial Bid Price per case for NOI ($)]]+Table1438[[#This Row],[Region 2: Fixed Fee Per Case ($)]])/Table1438[[#This Row],['# of CN Servings per case]]</f>
        <v>#DIV/0!</v>
      </c>
      <c r="X26" s="75" t="e">
        <f>Table1438[[#This Row],[Total Cost Per Serving (O+Q)/J]]*Table1438[[#This Row],[Estimated Servings Annual]]</f>
        <v>#DIV/0!</v>
      </c>
    </row>
    <row r="27" spans="1:24" x14ac:dyDescent="0.35">
      <c r="A27" s="30" t="s">
        <v>29</v>
      </c>
      <c r="B27" s="42" t="s">
        <v>136</v>
      </c>
      <c r="C27" s="6" t="s">
        <v>60</v>
      </c>
      <c r="D27" s="6"/>
      <c r="E27" s="6"/>
      <c r="F27" s="6"/>
      <c r="G27" s="6"/>
      <c r="H27" s="6"/>
      <c r="I27" s="6"/>
      <c r="J27" s="6"/>
      <c r="K27" s="48">
        <v>100000</v>
      </c>
      <c r="L27" s="6"/>
      <c r="M27" s="6"/>
      <c r="N27" s="6"/>
      <c r="O27" s="6"/>
      <c r="P27" s="6"/>
      <c r="Q27" s="6"/>
      <c r="R27" s="6"/>
      <c r="S27" s="67">
        <f>(Table1438[[#This Row],[Commercial Bid Price per case for NOI ($)]]-Table1438[[#This Row],[Pass-Thru Value per case ($)]])+Table1438[[#This Row],[Region 1: Fixed Fee Per Case ($)]]</f>
        <v>0</v>
      </c>
      <c r="T27" s="68" t="e">
        <f>(Table1438[[#This Row],[Commercial Bid Price per case for NOI ($)]]+Table1438[[#This Row],[Region 1: Fixed Fee Per Case ($)]])/Table1438[[#This Row],['# of CN Servings per case]]</f>
        <v>#DIV/0!</v>
      </c>
      <c r="U27" s="68" t="e">
        <f>Table1438[[#This Row],[Total Cost Per Serving (O+P)/J]]*Table1438[[#This Row],[Estimated Servings Annual]]</f>
        <v>#DIV/0!</v>
      </c>
      <c r="V27" s="67">
        <f>(Table1438[[#This Row],[Commercial Bid Price per case for NOI ($)]]-Table1438[[#This Row],[Pass-Thru Value per case ($)]])+Table1438[[#This Row],[Region 2: Fixed Fee Per Case ($)]]</f>
        <v>0</v>
      </c>
      <c r="W27" s="68" t="e">
        <f>(Table1438[[#This Row],[Commercial Bid Price per case for NOI ($)]]+Table1438[[#This Row],[Region 2: Fixed Fee Per Case ($)]])/Table1438[[#This Row],['# of CN Servings per case]]</f>
        <v>#DIV/0!</v>
      </c>
      <c r="X27" s="69" t="e">
        <f>Table1438[[#This Row],[Total Cost Per Serving (O+Q)/J]]*Table1438[[#This Row],[Estimated Servings Annual]]</f>
        <v>#DIV/0!</v>
      </c>
    </row>
    <row r="28" spans="1:24" x14ac:dyDescent="0.35">
      <c r="A28" s="30" t="s">
        <v>29</v>
      </c>
      <c r="B28" s="28" t="s">
        <v>136</v>
      </c>
      <c r="C28" s="7" t="s">
        <v>60</v>
      </c>
      <c r="D28" s="7"/>
      <c r="E28" s="7"/>
      <c r="F28" s="7"/>
      <c r="G28" s="7"/>
      <c r="H28" s="7"/>
      <c r="I28" s="7"/>
      <c r="J28" s="7"/>
      <c r="K28" s="49">
        <v>100000</v>
      </c>
      <c r="L28" s="7"/>
      <c r="M28" s="7"/>
      <c r="N28" s="7"/>
      <c r="O28" s="7"/>
      <c r="P28" s="7"/>
      <c r="Q28" s="7"/>
      <c r="R28" s="7"/>
      <c r="S28" s="70">
        <f>(Table1438[[#This Row],[Commercial Bid Price per case for NOI ($)]]-Table1438[[#This Row],[Pass-Thru Value per case ($)]])+Table1438[[#This Row],[Region 1: Fixed Fee Per Case ($)]]</f>
        <v>0</v>
      </c>
      <c r="T28" s="71" t="e">
        <f>(Table1438[[#This Row],[Commercial Bid Price per case for NOI ($)]]+Table1438[[#This Row],[Region 1: Fixed Fee Per Case ($)]])/Table1438[[#This Row],['# of CN Servings per case]]</f>
        <v>#DIV/0!</v>
      </c>
      <c r="U28" s="71" t="e">
        <f>Table1438[[#This Row],[Total Cost Per Serving (O+P)/J]]*Table1438[[#This Row],[Estimated Servings Annual]]</f>
        <v>#DIV/0!</v>
      </c>
      <c r="V28" s="70">
        <f>(Table1438[[#This Row],[Commercial Bid Price per case for NOI ($)]]-Table1438[[#This Row],[Pass-Thru Value per case ($)]])+Table1438[[#This Row],[Region 2: Fixed Fee Per Case ($)]]</f>
        <v>0</v>
      </c>
      <c r="W28" s="71" t="e">
        <f>(Table1438[[#This Row],[Commercial Bid Price per case for NOI ($)]]+Table1438[[#This Row],[Region 2: Fixed Fee Per Case ($)]])/Table1438[[#This Row],['# of CN Servings per case]]</f>
        <v>#DIV/0!</v>
      </c>
      <c r="X28" s="72" t="e">
        <f>Table1438[[#This Row],[Total Cost Per Serving (O+Q)/J]]*Table1438[[#This Row],[Estimated Servings Annual]]</f>
        <v>#DIV/0!</v>
      </c>
    </row>
    <row r="29" spans="1:24" x14ac:dyDescent="0.35">
      <c r="A29" s="30" t="s">
        <v>29</v>
      </c>
      <c r="B29" s="28" t="s">
        <v>136</v>
      </c>
      <c r="C29" s="7" t="s">
        <v>12</v>
      </c>
      <c r="D29" s="7"/>
      <c r="E29" s="7"/>
      <c r="F29" s="7"/>
      <c r="G29" s="7"/>
      <c r="H29" s="7"/>
      <c r="I29" s="7"/>
      <c r="J29" s="7"/>
      <c r="K29" s="49">
        <v>100000</v>
      </c>
      <c r="L29" s="7"/>
      <c r="M29" s="7"/>
      <c r="N29" s="7"/>
      <c r="O29" s="7"/>
      <c r="P29" s="7"/>
      <c r="Q29" s="7"/>
      <c r="R29" s="7"/>
      <c r="S29" s="70">
        <f>(Table1438[[#This Row],[Commercial Bid Price per case for NOI ($)]]-Table1438[[#This Row],[Pass-Thru Value per case ($)]])+Table1438[[#This Row],[Region 1: Fixed Fee Per Case ($)]]</f>
        <v>0</v>
      </c>
      <c r="T29" s="71" t="e">
        <f>(Table1438[[#This Row],[Commercial Bid Price per case for NOI ($)]]+Table1438[[#This Row],[Region 1: Fixed Fee Per Case ($)]])/Table1438[[#This Row],['# of CN Servings per case]]</f>
        <v>#DIV/0!</v>
      </c>
      <c r="U29" s="71" t="e">
        <f>Table1438[[#This Row],[Total Cost Per Serving (O+P)/J]]*Table1438[[#This Row],[Estimated Servings Annual]]</f>
        <v>#DIV/0!</v>
      </c>
      <c r="V29" s="70">
        <f>(Table1438[[#This Row],[Commercial Bid Price per case for NOI ($)]]-Table1438[[#This Row],[Pass-Thru Value per case ($)]])+Table1438[[#This Row],[Region 2: Fixed Fee Per Case ($)]]</f>
        <v>0</v>
      </c>
      <c r="W29" s="71" t="e">
        <f>(Table1438[[#This Row],[Commercial Bid Price per case for NOI ($)]]+Table1438[[#This Row],[Region 2: Fixed Fee Per Case ($)]])/Table1438[[#This Row],['# of CN Servings per case]]</f>
        <v>#DIV/0!</v>
      </c>
      <c r="X29" s="72" t="e">
        <f>Table1438[[#This Row],[Total Cost Per Serving (O+Q)/J]]*Table1438[[#This Row],[Estimated Servings Annual]]</f>
        <v>#DIV/0!</v>
      </c>
    </row>
    <row r="30" spans="1:24" x14ac:dyDescent="0.35">
      <c r="A30" s="30" t="s">
        <v>29</v>
      </c>
      <c r="B30" s="28" t="s">
        <v>136</v>
      </c>
      <c r="C30" s="7" t="s">
        <v>12</v>
      </c>
      <c r="D30" s="7"/>
      <c r="E30" s="7"/>
      <c r="F30" s="7"/>
      <c r="G30" s="7"/>
      <c r="H30" s="7"/>
      <c r="I30" s="7"/>
      <c r="J30" s="7"/>
      <c r="K30" s="49">
        <v>100000</v>
      </c>
      <c r="L30" s="7"/>
      <c r="M30" s="7"/>
      <c r="N30" s="7"/>
      <c r="O30" s="7"/>
      <c r="P30" s="7"/>
      <c r="Q30" s="7"/>
      <c r="R30" s="7"/>
      <c r="S30" s="70">
        <f>(Table1438[[#This Row],[Commercial Bid Price per case for NOI ($)]]-Table1438[[#This Row],[Pass-Thru Value per case ($)]])+Table1438[[#This Row],[Region 1: Fixed Fee Per Case ($)]]</f>
        <v>0</v>
      </c>
      <c r="T30" s="71" t="e">
        <f>(Table1438[[#This Row],[Commercial Bid Price per case for NOI ($)]]+Table1438[[#This Row],[Region 1: Fixed Fee Per Case ($)]])/Table1438[[#This Row],['# of CN Servings per case]]</f>
        <v>#DIV/0!</v>
      </c>
      <c r="U30" s="71" t="e">
        <f>Table1438[[#This Row],[Total Cost Per Serving (O+P)/J]]*Table1438[[#This Row],[Estimated Servings Annual]]</f>
        <v>#DIV/0!</v>
      </c>
      <c r="V30" s="70">
        <f>(Table1438[[#This Row],[Commercial Bid Price per case for NOI ($)]]-Table1438[[#This Row],[Pass-Thru Value per case ($)]])+Table1438[[#This Row],[Region 2: Fixed Fee Per Case ($)]]</f>
        <v>0</v>
      </c>
      <c r="W30" s="71" t="e">
        <f>(Table1438[[#This Row],[Commercial Bid Price per case for NOI ($)]]+Table1438[[#This Row],[Region 2: Fixed Fee Per Case ($)]])/Table1438[[#This Row],['# of CN Servings per case]]</f>
        <v>#DIV/0!</v>
      </c>
      <c r="X30" s="72" t="e">
        <f>Table1438[[#This Row],[Total Cost Per Serving (O+Q)/J]]*Table1438[[#This Row],[Estimated Servings Annual]]</f>
        <v>#DIV/0!</v>
      </c>
    </row>
    <row r="31" spans="1:24" x14ac:dyDescent="0.35">
      <c r="A31" s="30" t="s">
        <v>29</v>
      </c>
      <c r="B31" s="28" t="s">
        <v>136</v>
      </c>
      <c r="C31" s="7" t="s">
        <v>13</v>
      </c>
      <c r="D31" s="7"/>
      <c r="E31" s="7"/>
      <c r="F31" s="7"/>
      <c r="G31" s="7"/>
      <c r="H31" s="7"/>
      <c r="I31" s="7"/>
      <c r="J31" s="7"/>
      <c r="K31" s="49">
        <v>100000</v>
      </c>
      <c r="L31" s="7"/>
      <c r="M31" s="7"/>
      <c r="N31" s="7"/>
      <c r="O31" s="7"/>
      <c r="P31" s="7"/>
      <c r="Q31" s="7"/>
      <c r="R31" s="7"/>
      <c r="S31" s="70">
        <f>(Table1438[[#This Row],[Commercial Bid Price per case for NOI ($)]]-Table1438[[#This Row],[Pass-Thru Value per case ($)]])+Table1438[[#This Row],[Region 1: Fixed Fee Per Case ($)]]</f>
        <v>0</v>
      </c>
      <c r="T31" s="71" t="e">
        <f>(Table1438[[#This Row],[Commercial Bid Price per case for NOI ($)]]+Table1438[[#This Row],[Region 1: Fixed Fee Per Case ($)]])/Table1438[[#This Row],['# of CN Servings per case]]</f>
        <v>#DIV/0!</v>
      </c>
      <c r="U31" s="71" t="e">
        <f>Table1438[[#This Row],[Total Cost Per Serving (O+P)/J]]*Table1438[[#This Row],[Estimated Servings Annual]]</f>
        <v>#DIV/0!</v>
      </c>
      <c r="V31" s="70">
        <f>(Table1438[[#This Row],[Commercial Bid Price per case for NOI ($)]]-Table1438[[#This Row],[Pass-Thru Value per case ($)]])+Table1438[[#This Row],[Region 2: Fixed Fee Per Case ($)]]</f>
        <v>0</v>
      </c>
      <c r="W31" s="71" t="e">
        <f>(Table1438[[#This Row],[Commercial Bid Price per case for NOI ($)]]+Table1438[[#This Row],[Region 2: Fixed Fee Per Case ($)]])/Table1438[[#This Row],['# of CN Servings per case]]</f>
        <v>#DIV/0!</v>
      </c>
      <c r="X31" s="72" t="e">
        <f>Table1438[[#This Row],[Total Cost Per Serving (O+Q)/J]]*Table1438[[#This Row],[Estimated Servings Annual]]</f>
        <v>#DIV/0!</v>
      </c>
    </row>
    <row r="32" spans="1:24" x14ac:dyDescent="0.35">
      <c r="A32" s="30" t="s">
        <v>29</v>
      </c>
      <c r="B32" s="28" t="s">
        <v>136</v>
      </c>
      <c r="C32" s="7" t="s">
        <v>13</v>
      </c>
      <c r="D32" s="7"/>
      <c r="E32" s="7"/>
      <c r="F32" s="7"/>
      <c r="G32" s="7"/>
      <c r="H32" s="7"/>
      <c r="I32" s="7"/>
      <c r="J32" s="7"/>
      <c r="K32" s="49">
        <v>100000</v>
      </c>
      <c r="L32" s="7"/>
      <c r="M32" s="7"/>
      <c r="N32" s="7"/>
      <c r="O32" s="7"/>
      <c r="P32" s="7"/>
      <c r="Q32" s="7"/>
      <c r="R32" s="7"/>
      <c r="S32" s="70">
        <f>(Table1438[[#This Row],[Commercial Bid Price per case for NOI ($)]]-Table1438[[#This Row],[Pass-Thru Value per case ($)]])+Table1438[[#This Row],[Region 1: Fixed Fee Per Case ($)]]</f>
        <v>0</v>
      </c>
      <c r="T32" s="71" t="e">
        <f>(Table1438[[#This Row],[Commercial Bid Price per case for NOI ($)]]+Table1438[[#This Row],[Region 1: Fixed Fee Per Case ($)]])/Table1438[[#This Row],['# of CN Servings per case]]</f>
        <v>#DIV/0!</v>
      </c>
      <c r="U32" s="71" t="e">
        <f>Table1438[[#This Row],[Total Cost Per Serving (O+P)/J]]*Table1438[[#This Row],[Estimated Servings Annual]]</f>
        <v>#DIV/0!</v>
      </c>
      <c r="V32" s="70">
        <f>(Table1438[[#This Row],[Commercial Bid Price per case for NOI ($)]]-Table1438[[#This Row],[Pass-Thru Value per case ($)]])+Table1438[[#This Row],[Region 2: Fixed Fee Per Case ($)]]</f>
        <v>0</v>
      </c>
      <c r="W32" s="71" t="e">
        <f>(Table1438[[#This Row],[Commercial Bid Price per case for NOI ($)]]+Table1438[[#This Row],[Region 2: Fixed Fee Per Case ($)]])/Table1438[[#This Row],['# of CN Servings per case]]</f>
        <v>#DIV/0!</v>
      </c>
      <c r="X32" s="72" t="e">
        <f>Table1438[[#This Row],[Total Cost Per Serving (O+Q)/J]]*Table1438[[#This Row],[Estimated Servings Annual]]</f>
        <v>#DIV/0!</v>
      </c>
    </row>
    <row r="33" spans="1:24" x14ac:dyDescent="0.35">
      <c r="A33" s="30" t="s">
        <v>29</v>
      </c>
      <c r="B33" s="28" t="s">
        <v>136</v>
      </c>
      <c r="C33" s="7" t="s">
        <v>13</v>
      </c>
      <c r="D33" s="7"/>
      <c r="E33" s="7"/>
      <c r="F33" s="7"/>
      <c r="G33" s="7"/>
      <c r="H33" s="7"/>
      <c r="I33" s="7"/>
      <c r="J33" s="7"/>
      <c r="K33" s="49">
        <v>100000</v>
      </c>
      <c r="L33" s="7"/>
      <c r="M33" s="7"/>
      <c r="N33" s="7"/>
      <c r="O33" s="7"/>
      <c r="P33" s="7"/>
      <c r="Q33" s="7"/>
      <c r="R33" s="7"/>
      <c r="S33" s="70">
        <f>(Table1438[[#This Row],[Commercial Bid Price per case for NOI ($)]]-Table1438[[#This Row],[Pass-Thru Value per case ($)]])+Table1438[[#This Row],[Region 1: Fixed Fee Per Case ($)]]</f>
        <v>0</v>
      </c>
      <c r="T33" s="71" t="e">
        <f>(Table1438[[#This Row],[Commercial Bid Price per case for NOI ($)]]+Table1438[[#This Row],[Region 1: Fixed Fee Per Case ($)]])/Table1438[[#This Row],['# of CN Servings per case]]</f>
        <v>#DIV/0!</v>
      </c>
      <c r="U33" s="71" t="e">
        <f>Table1438[[#This Row],[Total Cost Per Serving (O+P)/J]]*Table1438[[#This Row],[Estimated Servings Annual]]</f>
        <v>#DIV/0!</v>
      </c>
      <c r="V33" s="70">
        <f>(Table1438[[#This Row],[Commercial Bid Price per case for NOI ($)]]-Table1438[[#This Row],[Pass-Thru Value per case ($)]])+Table1438[[#This Row],[Region 2: Fixed Fee Per Case ($)]]</f>
        <v>0</v>
      </c>
      <c r="W33" s="71" t="e">
        <f>(Table1438[[#This Row],[Commercial Bid Price per case for NOI ($)]]+Table1438[[#This Row],[Region 2: Fixed Fee Per Case ($)]])/Table1438[[#This Row],['# of CN Servings per case]]</f>
        <v>#DIV/0!</v>
      </c>
      <c r="X33" s="72" t="e">
        <f>Table1438[[#This Row],[Total Cost Per Serving (O+Q)/J]]*Table1438[[#This Row],[Estimated Servings Annual]]</f>
        <v>#DIV/0!</v>
      </c>
    </row>
    <row r="34" spans="1:24" ht="15" thickBot="1" x14ac:dyDescent="0.4">
      <c r="A34" s="30" t="s">
        <v>29</v>
      </c>
      <c r="B34" s="28" t="s">
        <v>136</v>
      </c>
      <c r="C34" s="8" t="s">
        <v>13</v>
      </c>
      <c r="D34" s="8"/>
      <c r="E34" s="8"/>
      <c r="F34" s="8"/>
      <c r="G34" s="8"/>
      <c r="H34" s="8"/>
      <c r="I34" s="8"/>
      <c r="J34" s="8"/>
      <c r="K34" s="49">
        <v>100000</v>
      </c>
      <c r="L34" s="8"/>
      <c r="M34" s="8"/>
      <c r="N34" s="8"/>
      <c r="O34" s="8"/>
      <c r="P34" s="8"/>
      <c r="Q34" s="8"/>
      <c r="R34" s="8"/>
      <c r="S34" s="73">
        <f>(Table1438[[#This Row],[Commercial Bid Price per case for NOI ($)]]-Table1438[[#This Row],[Pass-Thru Value per case ($)]])+Table1438[[#This Row],[Region 1: Fixed Fee Per Case ($)]]</f>
        <v>0</v>
      </c>
      <c r="T34" s="74" t="e">
        <f>(Table1438[[#This Row],[Commercial Bid Price per case for NOI ($)]]+Table1438[[#This Row],[Region 1: Fixed Fee Per Case ($)]])/Table1438[[#This Row],['# of CN Servings per case]]</f>
        <v>#DIV/0!</v>
      </c>
      <c r="U34" s="74" t="e">
        <f>Table1438[[#This Row],[Total Cost Per Serving (O+P)/J]]*Table1438[[#This Row],[Estimated Servings Annual]]</f>
        <v>#DIV/0!</v>
      </c>
      <c r="V34" s="73">
        <f>(Table1438[[#This Row],[Commercial Bid Price per case for NOI ($)]]-Table1438[[#This Row],[Pass-Thru Value per case ($)]])+Table1438[[#This Row],[Region 2: Fixed Fee Per Case ($)]]</f>
        <v>0</v>
      </c>
      <c r="W34" s="74" t="e">
        <f>(Table1438[[#This Row],[Commercial Bid Price per case for NOI ($)]]+Table1438[[#This Row],[Region 2: Fixed Fee Per Case ($)]])/Table1438[[#This Row],['# of CN Servings per case]]</f>
        <v>#DIV/0!</v>
      </c>
      <c r="X34" s="75" t="e">
        <f>Table1438[[#This Row],[Total Cost Per Serving (O+Q)/J]]*Table1438[[#This Row],[Estimated Servings Annual]]</f>
        <v>#DIV/0!</v>
      </c>
    </row>
    <row r="35" spans="1:24" x14ac:dyDescent="0.35">
      <c r="A35" s="30" t="s">
        <v>29</v>
      </c>
      <c r="B35" s="43" t="s">
        <v>137</v>
      </c>
      <c r="C35" s="6" t="s">
        <v>60</v>
      </c>
      <c r="D35" s="6"/>
      <c r="E35" s="6"/>
      <c r="F35" s="6"/>
      <c r="G35" s="6"/>
      <c r="H35" s="6"/>
      <c r="I35" s="6"/>
      <c r="J35" s="6"/>
      <c r="K35" s="48">
        <v>1800000</v>
      </c>
      <c r="L35" s="6"/>
      <c r="M35" s="6"/>
      <c r="N35" s="6"/>
      <c r="O35" s="6"/>
      <c r="P35" s="6"/>
      <c r="Q35" s="6"/>
      <c r="R35" s="6"/>
      <c r="S35" s="67">
        <f>(Table1438[[#This Row],[Commercial Bid Price per case for NOI ($)]]-Table1438[[#This Row],[Pass-Thru Value per case ($)]])+Table1438[[#This Row],[Region 1: Fixed Fee Per Case ($)]]</f>
        <v>0</v>
      </c>
      <c r="T35" s="76" t="e">
        <f>(Table1438[[#This Row],[Commercial Bid Price per case for NOI ($)]]+Table1438[[#This Row],[Region 1: Fixed Fee Per Case ($)]])/Table1438[[#This Row],['# of CN Servings per case]]</f>
        <v>#DIV/0!</v>
      </c>
      <c r="U35" s="68" t="e">
        <f>Table1438[[#This Row],[Total Cost Per Serving (O+P)/J]]*Table1438[[#This Row],[Estimated Servings Annual]]</f>
        <v>#DIV/0!</v>
      </c>
      <c r="V35" s="67">
        <f>(Table1438[[#This Row],[Commercial Bid Price per case for NOI ($)]]-Table1438[[#This Row],[Pass-Thru Value per case ($)]])+Table1438[[#This Row],[Region 2: Fixed Fee Per Case ($)]]</f>
        <v>0</v>
      </c>
      <c r="W35" s="76" t="e">
        <f>(Table1438[[#This Row],[Commercial Bid Price per case for NOI ($)]]+Table1438[[#This Row],[Region 2: Fixed Fee Per Case ($)]])/Table1438[[#This Row],['# of CN Servings per case]]</f>
        <v>#DIV/0!</v>
      </c>
      <c r="X35" s="69" t="e">
        <f>Table1438[[#This Row],[Total Cost Per Serving (O+Q)/J]]*Table1438[[#This Row],[Estimated Servings Annual]]</f>
        <v>#DIV/0!</v>
      </c>
    </row>
    <row r="36" spans="1:24" x14ac:dyDescent="0.35">
      <c r="A36" s="30" t="s">
        <v>29</v>
      </c>
      <c r="B36" s="44" t="s">
        <v>137</v>
      </c>
      <c r="C36" s="7" t="s">
        <v>60</v>
      </c>
      <c r="D36" s="7"/>
      <c r="E36" s="7"/>
      <c r="F36" s="7"/>
      <c r="G36" s="7"/>
      <c r="H36" s="7"/>
      <c r="I36" s="7"/>
      <c r="J36" s="7"/>
      <c r="K36" s="49">
        <v>1800000</v>
      </c>
      <c r="L36" s="7"/>
      <c r="M36" s="7"/>
      <c r="N36" s="7"/>
      <c r="O36" s="7"/>
      <c r="P36" s="7"/>
      <c r="Q36" s="7"/>
      <c r="R36" s="7"/>
      <c r="S36" s="70">
        <f>(Table1438[[#This Row],[Commercial Bid Price per case for NOI ($)]]-Table1438[[#This Row],[Pass-Thru Value per case ($)]])+Table1438[[#This Row],[Region 1: Fixed Fee Per Case ($)]]</f>
        <v>0</v>
      </c>
      <c r="T36" s="77" t="e">
        <f>(Table1438[[#This Row],[Commercial Bid Price per case for NOI ($)]]+Table1438[[#This Row],[Region 1: Fixed Fee Per Case ($)]])/Table1438[[#This Row],['# of CN Servings per case]]</f>
        <v>#DIV/0!</v>
      </c>
      <c r="U36" s="71" t="e">
        <f>Table1438[[#This Row],[Total Cost Per Serving (O+P)/J]]*Table1438[[#This Row],[Estimated Servings Annual]]</f>
        <v>#DIV/0!</v>
      </c>
      <c r="V36" s="70">
        <f>(Table1438[[#This Row],[Commercial Bid Price per case for NOI ($)]]-Table1438[[#This Row],[Pass-Thru Value per case ($)]])+Table1438[[#This Row],[Region 2: Fixed Fee Per Case ($)]]</f>
        <v>0</v>
      </c>
      <c r="W36" s="77" t="e">
        <f>(Table1438[[#This Row],[Commercial Bid Price per case for NOI ($)]]+Table1438[[#This Row],[Region 2: Fixed Fee Per Case ($)]])/Table1438[[#This Row],['# of CN Servings per case]]</f>
        <v>#DIV/0!</v>
      </c>
      <c r="X36" s="72" t="e">
        <f>Table1438[[#This Row],[Total Cost Per Serving (O+Q)/J]]*Table1438[[#This Row],[Estimated Servings Annual]]</f>
        <v>#DIV/0!</v>
      </c>
    </row>
    <row r="37" spans="1:24" x14ac:dyDescent="0.35">
      <c r="A37" s="30" t="s">
        <v>29</v>
      </c>
      <c r="B37" s="44" t="s">
        <v>137</v>
      </c>
      <c r="C37" s="7" t="s">
        <v>12</v>
      </c>
      <c r="D37" s="7"/>
      <c r="E37" s="7"/>
      <c r="F37" s="7"/>
      <c r="G37" s="7"/>
      <c r="H37" s="7"/>
      <c r="I37" s="7"/>
      <c r="J37" s="7"/>
      <c r="K37" s="49">
        <v>1800000</v>
      </c>
      <c r="L37" s="7"/>
      <c r="M37" s="7"/>
      <c r="N37" s="7"/>
      <c r="O37" s="7"/>
      <c r="P37" s="7"/>
      <c r="Q37" s="7"/>
      <c r="R37" s="7"/>
      <c r="S37" s="70">
        <f>(Table1438[[#This Row],[Commercial Bid Price per case for NOI ($)]]-Table1438[[#This Row],[Pass-Thru Value per case ($)]])+Table1438[[#This Row],[Region 1: Fixed Fee Per Case ($)]]</f>
        <v>0</v>
      </c>
      <c r="T37" s="77" t="e">
        <f>(Table1438[[#This Row],[Commercial Bid Price per case for NOI ($)]]+Table1438[[#This Row],[Region 1: Fixed Fee Per Case ($)]])/Table1438[[#This Row],['# of CN Servings per case]]</f>
        <v>#DIV/0!</v>
      </c>
      <c r="U37" s="71" t="e">
        <f>Table1438[[#This Row],[Total Cost Per Serving (O+P)/J]]*Table1438[[#This Row],[Estimated Servings Annual]]</f>
        <v>#DIV/0!</v>
      </c>
      <c r="V37" s="70">
        <f>(Table1438[[#This Row],[Commercial Bid Price per case for NOI ($)]]-Table1438[[#This Row],[Pass-Thru Value per case ($)]])+Table1438[[#This Row],[Region 2: Fixed Fee Per Case ($)]]</f>
        <v>0</v>
      </c>
      <c r="W37" s="77" t="e">
        <f>(Table1438[[#This Row],[Commercial Bid Price per case for NOI ($)]]+Table1438[[#This Row],[Region 2: Fixed Fee Per Case ($)]])/Table1438[[#This Row],['# of CN Servings per case]]</f>
        <v>#DIV/0!</v>
      </c>
      <c r="X37" s="72" t="e">
        <f>Table1438[[#This Row],[Total Cost Per Serving (O+Q)/J]]*Table1438[[#This Row],[Estimated Servings Annual]]</f>
        <v>#DIV/0!</v>
      </c>
    </row>
    <row r="38" spans="1:24" x14ac:dyDescent="0.35">
      <c r="A38" s="30" t="s">
        <v>29</v>
      </c>
      <c r="B38" s="44" t="s">
        <v>137</v>
      </c>
      <c r="C38" s="7" t="s">
        <v>12</v>
      </c>
      <c r="D38" s="7"/>
      <c r="E38" s="7"/>
      <c r="F38" s="7"/>
      <c r="G38" s="7"/>
      <c r="H38" s="7"/>
      <c r="I38" s="7"/>
      <c r="J38" s="7"/>
      <c r="K38" s="49">
        <v>1800000</v>
      </c>
      <c r="L38" s="7"/>
      <c r="M38" s="7"/>
      <c r="N38" s="7"/>
      <c r="O38" s="7"/>
      <c r="P38" s="7"/>
      <c r="Q38" s="7"/>
      <c r="R38" s="7"/>
      <c r="S38" s="70">
        <f>(Table1438[[#This Row],[Commercial Bid Price per case for NOI ($)]]-Table1438[[#This Row],[Pass-Thru Value per case ($)]])+Table1438[[#This Row],[Region 1: Fixed Fee Per Case ($)]]</f>
        <v>0</v>
      </c>
      <c r="T38" s="77" t="e">
        <f>(Table1438[[#This Row],[Commercial Bid Price per case for NOI ($)]]+Table1438[[#This Row],[Region 1: Fixed Fee Per Case ($)]])/Table1438[[#This Row],['# of CN Servings per case]]</f>
        <v>#DIV/0!</v>
      </c>
      <c r="U38" s="71" t="e">
        <f>Table1438[[#This Row],[Total Cost Per Serving (O+P)/J]]*Table1438[[#This Row],[Estimated Servings Annual]]</f>
        <v>#DIV/0!</v>
      </c>
      <c r="V38" s="70">
        <f>(Table1438[[#This Row],[Commercial Bid Price per case for NOI ($)]]-Table1438[[#This Row],[Pass-Thru Value per case ($)]])+Table1438[[#This Row],[Region 2: Fixed Fee Per Case ($)]]</f>
        <v>0</v>
      </c>
      <c r="W38" s="77" t="e">
        <f>(Table1438[[#This Row],[Commercial Bid Price per case for NOI ($)]]+Table1438[[#This Row],[Region 2: Fixed Fee Per Case ($)]])/Table1438[[#This Row],['# of CN Servings per case]]</f>
        <v>#DIV/0!</v>
      </c>
      <c r="X38" s="72" t="e">
        <f>Table1438[[#This Row],[Total Cost Per Serving (O+Q)/J]]*Table1438[[#This Row],[Estimated Servings Annual]]</f>
        <v>#DIV/0!</v>
      </c>
    </row>
    <row r="39" spans="1:24" x14ac:dyDescent="0.35">
      <c r="A39" s="30" t="s">
        <v>29</v>
      </c>
      <c r="B39" s="44" t="s">
        <v>137</v>
      </c>
      <c r="C39" s="7" t="s">
        <v>13</v>
      </c>
      <c r="D39" s="7"/>
      <c r="E39" s="7"/>
      <c r="F39" s="7"/>
      <c r="G39" s="7"/>
      <c r="H39" s="7"/>
      <c r="I39" s="7"/>
      <c r="J39" s="7"/>
      <c r="K39" s="49">
        <v>1800000</v>
      </c>
      <c r="L39" s="7"/>
      <c r="M39" s="7"/>
      <c r="N39" s="7"/>
      <c r="O39" s="7"/>
      <c r="P39" s="7"/>
      <c r="Q39" s="7"/>
      <c r="R39" s="7"/>
      <c r="S39" s="70">
        <f>(Table1438[[#This Row],[Commercial Bid Price per case for NOI ($)]]-Table1438[[#This Row],[Pass-Thru Value per case ($)]])+Table1438[[#This Row],[Region 1: Fixed Fee Per Case ($)]]</f>
        <v>0</v>
      </c>
      <c r="T39" s="77" t="e">
        <f>(Table1438[[#This Row],[Commercial Bid Price per case for NOI ($)]]+Table1438[[#This Row],[Region 1: Fixed Fee Per Case ($)]])/Table1438[[#This Row],['# of CN Servings per case]]</f>
        <v>#DIV/0!</v>
      </c>
      <c r="U39" s="71" t="e">
        <f>Table1438[[#This Row],[Total Cost Per Serving (O+P)/J]]*Table1438[[#This Row],[Estimated Servings Annual]]</f>
        <v>#DIV/0!</v>
      </c>
      <c r="V39" s="70">
        <f>(Table1438[[#This Row],[Commercial Bid Price per case for NOI ($)]]-Table1438[[#This Row],[Pass-Thru Value per case ($)]])+Table1438[[#This Row],[Region 2: Fixed Fee Per Case ($)]]</f>
        <v>0</v>
      </c>
      <c r="W39" s="77" t="e">
        <f>(Table1438[[#This Row],[Commercial Bid Price per case for NOI ($)]]+Table1438[[#This Row],[Region 2: Fixed Fee Per Case ($)]])/Table1438[[#This Row],['# of CN Servings per case]]</f>
        <v>#DIV/0!</v>
      </c>
      <c r="X39" s="72" t="e">
        <f>Table1438[[#This Row],[Total Cost Per Serving (O+Q)/J]]*Table1438[[#This Row],[Estimated Servings Annual]]</f>
        <v>#DIV/0!</v>
      </c>
    </row>
    <row r="40" spans="1:24" x14ac:dyDescent="0.35">
      <c r="A40" s="30" t="s">
        <v>29</v>
      </c>
      <c r="B40" s="44" t="s">
        <v>137</v>
      </c>
      <c r="C40" s="7" t="s">
        <v>13</v>
      </c>
      <c r="D40" s="7"/>
      <c r="E40" s="7"/>
      <c r="F40" s="7"/>
      <c r="G40" s="7"/>
      <c r="H40" s="7"/>
      <c r="I40" s="7"/>
      <c r="J40" s="7"/>
      <c r="K40" s="49">
        <v>1800000</v>
      </c>
      <c r="L40" s="7"/>
      <c r="M40" s="7"/>
      <c r="N40" s="7"/>
      <c r="O40" s="7"/>
      <c r="P40" s="7"/>
      <c r="Q40" s="7"/>
      <c r="R40" s="7"/>
      <c r="S40" s="70">
        <f>(Table1438[[#This Row],[Commercial Bid Price per case for NOI ($)]]-Table1438[[#This Row],[Pass-Thru Value per case ($)]])+Table1438[[#This Row],[Region 1: Fixed Fee Per Case ($)]]</f>
        <v>0</v>
      </c>
      <c r="T40" s="77" t="e">
        <f>(Table1438[[#This Row],[Commercial Bid Price per case for NOI ($)]]+Table1438[[#This Row],[Region 1: Fixed Fee Per Case ($)]])/Table1438[[#This Row],['# of CN Servings per case]]</f>
        <v>#DIV/0!</v>
      </c>
      <c r="U40" s="71" t="e">
        <f>Table1438[[#This Row],[Total Cost Per Serving (O+P)/J]]*Table1438[[#This Row],[Estimated Servings Annual]]</f>
        <v>#DIV/0!</v>
      </c>
      <c r="V40" s="70">
        <f>(Table1438[[#This Row],[Commercial Bid Price per case for NOI ($)]]-Table1438[[#This Row],[Pass-Thru Value per case ($)]])+Table1438[[#This Row],[Region 2: Fixed Fee Per Case ($)]]</f>
        <v>0</v>
      </c>
      <c r="W40" s="77" t="e">
        <f>(Table1438[[#This Row],[Commercial Bid Price per case for NOI ($)]]+Table1438[[#This Row],[Region 2: Fixed Fee Per Case ($)]])/Table1438[[#This Row],['# of CN Servings per case]]</f>
        <v>#DIV/0!</v>
      </c>
      <c r="X40" s="72" t="e">
        <f>Table1438[[#This Row],[Total Cost Per Serving (O+Q)/J]]*Table1438[[#This Row],[Estimated Servings Annual]]</f>
        <v>#DIV/0!</v>
      </c>
    </row>
    <row r="41" spans="1:24" x14ac:dyDescent="0.35">
      <c r="A41" s="30" t="s">
        <v>29</v>
      </c>
      <c r="B41" s="44" t="s">
        <v>137</v>
      </c>
      <c r="C41" s="7" t="s">
        <v>13</v>
      </c>
      <c r="D41" s="7"/>
      <c r="E41" s="7"/>
      <c r="F41" s="7"/>
      <c r="G41" s="7"/>
      <c r="H41" s="7"/>
      <c r="I41" s="7"/>
      <c r="J41" s="7"/>
      <c r="K41" s="49">
        <v>1800000</v>
      </c>
      <c r="L41" s="7"/>
      <c r="M41" s="7"/>
      <c r="N41" s="7"/>
      <c r="O41" s="7"/>
      <c r="P41" s="7"/>
      <c r="Q41" s="7"/>
      <c r="R41" s="7"/>
      <c r="S41" s="70">
        <f>(Table1438[[#This Row],[Commercial Bid Price per case for NOI ($)]]-Table1438[[#This Row],[Pass-Thru Value per case ($)]])+Table1438[[#This Row],[Region 1: Fixed Fee Per Case ($)]]</f>
        <v>0</v>
      </c>
      <c r="T41" s="77" t="e">
        <f>(Table1438[[#This Row],[Commercial Bid Price per case for NOI ($)]]+Table1438[[#This Row],[Region 1: Fixed Fee Per Case ($)]])/Table1438[[#This Row],['# of CN Servings per case]]</f>
        <v>#DIV/0!</v>
      </c>
      <c r="U41" s="71" t="e">
        <f>Table1438[[#This Row],[Total Cost Per Serving (O+P)/J]]*Table1438[[#This Row],[Estimated Servings Annual]]</f>
        <v>#DIV/0!</v>
      </c>
      <c r="V41" s="70">
        <f>(Table1438[[#This Row],[Commercial Bid Price per case for NOI ($)]]-Table1438[[#This Row],[Pass-Thru Value per case ($)]])+Table1438[[#This Row],[Region 2: Fixed Fee Per Case ($)]]</f>
        <v>0</v>
      </c>
      <c r="W41" s="77" t="e">
        <f>(Table1438[[#This Row],[Commercial Bid Price per case for NOI ($)]]+Table1438[[#This Row],[Region 2: Fixed Fee Per Case ($)]])/Table1438[[#This Row],['# of CN Servings per case]]</f>
        <v>#DIV/0!</v>
      </c>
      <c r="X41" s="72" t="e">
        <f>Table1438[[#This Row],[Total Cost Per Serving (O+Q)/J]]*Table1438[[#This Row],[Estimated Servings Annual]]</f>
        <v>#DIV/0!</v>
      </c>
    </row>
    <row r="42" spans="1:24" ht="15" thickBot="1" x14ac:dyDescent="0.4">
      <c r="A42" s="30" t="s">
        <v>29</v>
      </c>
      <c r="B42" s="45" t="s">
        <v>137</v>
      </c>
      <c r="C42" s="8" t="s">
        <v>13</v>
      </c>
      <c r="D42" s="8"/>
      <c r="E42" s="8"/>
      <c r="F42" s="8"/>
      <c r="G42" s="8"/>
      <c r="H42" s="8"/>
      <c r="I42" s="8"/>
      <c r="J42" s="8"/>
      <c r="K42" s="50">
        <v>1800000</v>
      </c>
      <c r="L42" s="8"/>
      <c r="M42" s="8"/>
      <c r="N42" s="8"/>
      <c r="O42" s="8"/>
      <c r="P42" s="8"/>
      <c r="Q42" s="8"/>
      <c r="R42" s="8"/>
      <c r="S42" s="73">
        <f>(Table1438[[#This Row],[Commercial Bid Price per case for NOI ($)]]-Table1438[[#This Row],[Pass-Thru Value per case ($)]])+Table1438[[#This Row],[Region 1: Fixed Fee Per Case ($)]]</f>
        <v>0</v>
      </c>
      <c r="T42" s="78" t="e">
        <f>(Table1438[[#This Row],[Commercial Bid Price per case for NOI ($)]]+Table1438[[#This Row],[Region 1: Fixed Fee Per Case ($)]])/Table1438[[#This Row],['# of CN Servings per case]]</f>
        <v>#DIV/0!</v>
      </c>
      <c r="U42" s="74" t="e">
        <f>Table1438[[#This Row],[Total Cost Per Serving (O+P)/J]]*Table1438[[#This Row],[Estimated Servings Annual]]</f>
        <v>#DIV/0!</v>
      </c>
      <c r="V42" s="73">
        <f>(Table1438[[#This Row],[Commercial Bid Price per case for NOI ($)]]-Table1438[[#This Row],[Pass-Thru Value per case ($)]])+Table1438[[#This Row],[Region 2: Fixed Fee Per Case ($)]]</f>
        <v>0</v>
      </c>
      <c r="W42" s="78" t="e">
        <f>(Table1438[[#This Row],[Commercial Bid Price per case for NOI ($)]]+Table1438[[#This Row],[Region 2: Fixed Fee Per Case ($)]])/Table1438[[#This Row],['# of CN Servings per case]]</f>
        <v>#DIV/0!</v>
      </c>
      <c r="X42" s="75" t="e">
        <f>Table1438[[#This Row],[Total Cost Per Serving (O+Q)/J]]*Table1438[[#This Row],[Estimated Servings Annual]]</f>
        <v>#DIV/0!</v>
      </c>
    </row>
    <row r="43" spans="1:24" x14ac:dyDescent="0.35">
      <c r="A43" s="30" t="s">
        <v>29</v>
      </c>
      <c r="B43" s="42" t="s">
        <v>138</v>
      </c>
      <c r="C43" s="6" t="s">
        <v>60</v>
      </c>
      <c r="D43" s="6"/>
      <c r="E43" s="6"/>
      <c r="F43" s="6"/>
      <c r="G43" s="6"/>
      <c r="H43" s="6"/>
      <c r="I43" s="6"/>
      <c r="J43" s="6"/>
      <c r="K43" s="48">
        <v>250000</v>
      </c>
      <c r="L43" s="6"/>
      <c r="M43" s="6"/>
      <c r="N43" s="6"/>
      <c r="O43" s="6"/>
      <c r="P43" s="6"/>
      <c r="Q43" s="6"/>
      <c r="R43" s="6"/>
      <c r="S43" s="67">
        <f>(Table1438[[#This Row],[Commercial Bid Price per case for NOI ($)]]-Table1438[[#This Row],[Pass-Thru Value per case ($)]])+Table1438[[#This Row],[Region 1: Fixed Fee Per Case ($)]]</f>
        <v>0</v>
      </c>
      <c r="T43" s="76" t="e">
        <f>(Table1438[[#This Row],[Commercial Bid Price per case for NOI ($)]]+Table1438[[#This Row],[Region 1: Fixed Fee Per Case ($)]])/Table1438[[#This Row],['# of CN Servings per case]]</f>
        <v>#DIV/0!</v>
      </c>
      <c r="U43" s="68" t="e">
        <f>Table1438[[#This Row],[Total Cost Per Serving (O+P)/J]]*Table1438[[#This Row],[Estimated Servings Annual]]</f>
        <v>#DIV/0!</v>
      </c>
      <c r="V43" s="67">
        <f>(Table1438[[#This Row],[Commercial Bid Price per case for NOI ($)]]-Table1438[[#This Row],[Pass-Thru Value per case ($)]])+Table1438[[#This Row],[Region 2: Fixed Fee Per Case ($)]]</f>
        <v>0</v>
      </c>
      <c r="W43" s="76" t="e">
        <f>(Table1438[[#This Row],[Commercial Bid Price per case for NOI ($)]]+Table1438[[#This Row],[Region 2: Fixed Fee Per Case ($)]])/Table1438[[#This Row],['# of CN Servings per case]]</f>
        <v>#DIV/0!</v>
      </c>
      <c r="X43" s="69" t="e">
        <f>Table1438[[#This Row],[Total Cost Per Serving (O+Q)/J]]*Table1438[[#This Row],[Estimated Servings Annual]]</f>
        <v>#DIV/0!</v>
      </c>
    </row>
    <row r="44" spans="1:24" x14ac:dyDescent="0.35">
      <c r="A44" s="30" t="s">
        <v>29</v>
      </c>
      <c r="B44" s="28" t="s">
        <v>138</v>
      </c>
      <c r="C44" s="7" t="s">
        <v>60</v>
      </c>
      <c r="D44" s="7"/>
      <c r="E44" s="7"/>
      <c r="F44" s="7"/>
      <c r="G44" s="7"/>
      <c r="H44" s="7"/>
      <c r="I44" s="7"/>
      <c r="J44" s="7"/>
      <c r="K44" s="49">
        <v>250000</v>
      </c>
      <c r="L44" s="7"/>
      <c r="M44" s="7"/>
      <c r="N44" s="7"/>
      <c r="O44" s="7"/>
      <c r="P44" s="7"/>
      <c r="Q44" s="7"/>
      <c r="R44" s="7"/>
      <c r="S44" s="70">
        <f>(Table1438[[#This Row],[Commercial Bid Price per case for NOI ($)]]-Table1438[[#This Row],[Pass-Thru Value per case ($)]])+Table1438[[#This Row],[Region 1: Fixed Fee Per Case ($)]]</f>
        <v>0</v>
      </c>
      <c r="T44" s="77" t="e">
        <f>(Table1438[[#This Row],[Commercial Bid Price per case for NOI ($)]]+Table1438[[#This Row],[Region 1: Fixed Fee Per Case ($)]])/Table1438[[#This Row],['# of CN Servings per case]]</f>
        <v>#DIV/0!</v>
      </c>
      <c r="U44" s="71" t="e">
        <f>Table1438[[#This Row],[Total Cost Per Serving (O+P)/J]]*Table1438[[#This Row],[Estimated Servings Annual]]</f>
        <v>#DIV/0!</v>
      </c>
      <c r="V44" s="70">
        <f>(Table1438[[#This Row],[Commercial Bid Price per case for NOI ($)]]-Table1438[[#This Row],[Pass-Thru Value per case ($)]])+Table1438[[#This Row],[Region 2: Fixed Fee Per Case ($)]]</f>
        <v>0</v>
      </c>
      <c r="W44" s="77" t="e">
        <f>(Table1438[[#This Row],[Commercial Bid Price per case for NOI ($)]]+Table1438[[#This Row],[Region 2: Fixed Fee Per Case ($)]])/Table1438[[#This Row],['# of CN Servings per case]]</f>
        <v>#DIV/0!</v>
      </c>
      <c r="X44" s="72" t="e">
        <f>Table1438[[#This Row],[Total Cost Per Serving (O+Q)/J]]*Table1438[[#This Row],[Estimated Servings Annual]]</f>
        <v>#DIV/0!</v>
      </c>
    </row>
    <row r="45" spans="1:24" x14ac:dyDescent="0.35">
      <c r="A45" s="30" t="s">
        <v>29</v>
      </c>
      <c r="B45" s="28" t="s">
        <v>138</v>
      </c>
      <c r="C45" s="7" t="s">
        <v>12</v>
      </c>
      <c r="D45" s="7"/>
      <c r="E45" s="7"/>
      <c r="F45" s="7"/>
      <c r="G45" s="7"/>
      <c r="H45" s="7"/>
      <c r="I45" s="7"/>
      <c r="J45" s="7"/>
      <c r="K45" s="49">
        <v>250000</v>
      </c>
      <c r="L45" s="7"/>
      <c r="M45" s="7"/>
      <c r="N45" s="7"/>
      <c r="O45" s="7"/>
      <c r="P45" s="7"/>
      <c r="Q45" s="7"/>
      <c r="R45" s="7"/>
      <c r="S45" s="70">
        <f>(Table1438[[#This Row],[Commercial Bid Price per case for NOI ($)]]-Table1438[[#This Row],[Pass-Thru Value per case ($)]])+Table1438[[#This Row],[Region 1: Fixed Fee Per Case ($)]]</f>
        <v>0</v>
      </c>
      <c r="T45" s="77" t="e">
        <f>(Table1438[[#This Row],[Commercial Bid Price per case for NOI ($)]]+Table1438[[#This Row],[Region 1: Fixed Fee Per Case ($)]])/Table1438[[#This Row],['# of CN Servings per case]]</f>
        <v>#DIV/0!</v>
      </c>
      <c r="U45" s="71" t="e">
        <f>Table1438[[#This Row],[Total Cost Per Serving (O+P)/J]]*Table1438[[#This Row],[Estimated Servings Annual]]</f>
        <v>#DIV/0!</v>
      </c>
      <c r="V45" s="70">
        <f>(Table1438[[#This Row],[Commercial Bid Price per case for NOI ($)]]-Table1438[[#This Row],[Pass-Thru Value per case ($)]])+Table1438[[#This Row],[Region 2: Fixed Fee Per Case ($)]]</f>
        <v>0</v>
      </c>
      <c r="W45" s="77" t="e">
        <f>(Table1438[[#This Row],[Commercial Bid Price per case for NOI ($)]]+Table1438[[#This Row],[Region 2: Fixed Fee Per Case ($)]])/Table1438[[#This Row],['# of CN Servings per case]]</f>
        <v>#DIV/0!</v>
      </c>
      <c r="X45" s="72" t="e">
        <f>Table1438[[#This Row],[Total Cost Per Serving (O+Q)/J]]*Table1438[[#This Row],[Estimated Servings Annual]]</f>
        <v>#DIV/0!</v>
      </c>
    </row>
    <row r="46" spans="1:24" x14ac:dyDescent="0.35">
      <c r="A46" s="30" t="s">
        <v>29</v>
      </c>
      <c r="B46" s="28" t="s">
        <v>138</v>
      </c>
      <c r="C46" s="7" t="s">
        <v>12</v>
      </c>
      <c r="D46" s="7"/>
      <c r="E46" s="7"/>
      <c r="F46" s="7"/>
      <c r="G46" s="7"/>
      <c r="H46" s="7"/>
      <c r="I46" s="7"/>
      <c r="J46" s="7"/>
      <c r="K46" s="49">
        <v>250000</v>
      </c>
      <c r="L46" s="7"/>
      <c r="M46" s="7"/>
      <c r="N46" s="7"/>
      <c r="O46" s="7"/>
      <c r="P46" s="7"/>
      <c r="Q46" s="7"/>
      <c r="R46" s="7"/>
      <c r="S46" s="70">
        <f>(Table1438[[#This Row],[Commercial Bid Price per case for NOI ($)]]-Table1438[[#This Row],[Pass-Thru Value per case ($)]])+Table1438[[#This Row],[Region 1: Fixed Fee Per Case ($)]]</f>
        <v>0</v>
      </c>
      <c r="T46" s="77" t="e">
        <f>(Table1438[[#This Row],[Commercial Bid Price per case for NOI ($)]]+Table1438[[#This Row],[Region 1: Fixed Fee Per Case ($)]])/Table1438[[#This Row],['# of CN Servings per case]]</f>
        <v>#DIV/0!</v>
      </c>
      <c r="U46" s="71" t="e">
        <f>Table1438[[#This Row],[Total Cost Per Serving (O+P)/J]]*Table1438[[#This Row],[Estimated Servings Annual]]</f>
        <v>#DIV/0!</v>
      </c>
      <c r="V46" s="70">
        <f>(Table1438[[#This Row],[Commercial Bid Price per case for NOI ($)]]-Table1438[[#This Row],[Pass-Thru Value per case ($)]])+Table1438[[#This Row],[Region 2: Fixed Fee Per Case ($)]]</f>
        <v>0</v>
      </c>
      <c r="W46" s="77" t="e">
        <f>(Table1438[[#This Row],[Commercial Bid Price per case for NOI ($)]]+Table1438[[#This Row],[Region 2: Fixed Fee Per Case ($)]])/Table1438[[#This Row],['# of CN Servings per case]]</f>
        <v>#DIV/0!</v>
      </c>
      <c r="X46" s="72" t="e">
        <f>Table1438[[#This Row],[Total Cost Per Serving (O+Q)/J]]*Table1438[[#This Row],[Estimated Servings Annual]]</f>
        <v>#DIV/0!</v>
      </c>
    </row>
    <row r="47" spans="1:24" x14ac:dyDescent="0.35">
      <c r="A47" s="30" t="s">
        <v>29</v>
      </c>
      <c r="B47" s="28" t="s">
        <v>138</v>
      </c>
      <c r="C47" s="7" t="s">
        <v>13</v>
      </c>
      <c r="D47" s="7"/>
      <c r="E47" s="7"/>
      <c r="F47" s="7"/>
      <c r="G47" s="7"/>
      <c r="H47" s="7"/>
      <c r="I47" s="7"/>
      <c r="J47" s="7"/>
      <c r="K47" s="49">
        <v>250000</v>
      </c>
      <c r="L47" s="7"/>
      <c r="M47" s="7"/>
      <c r="N47" s="7"/>
      <c r="O47" s="7"/>
      <c r="P47" s="7"/>
      <c r="Q47" s="7"/>
      <c r="R47" s="7"/>
      <c r="S47" s="70">
        <f>(Table1438[[#This Row],[Commercial Bid Price per case for NOI ($)]]-Table1438[[#This Row],[Pass-Thru Value per case ($)]])+Table1438[[#This Row],[Region 1: Fixed Fee Per Case ($)]]</f>
        <v>0</v>
      </c>
      <c r="T47" s="77" t="e">
        <f>(Table1438[[#This Row],[Commercial Bid Price per case for NOI ($)]]+Table1438[[#This Row],[Region 1: Fixed Fee Per Case ($)]])/Table1438[[#This Row],['# of CN Servings per case]]</f>
        <v>#DIV/0!</v>
      </c>
      <c r="U47" s="71" t="e">
        <f>Table1438[[#This Row],[Total Cost Per Serving (O+P)/J]]*Table1438[[#This Row],[Estimated Servings Annual]]</f>
        <v>#DIV/0!</v>
      </c>
      <c r="V47" s="70">
        <f>(Table1438[[#This Row],[Commercial Bid Price per case for NOI ($)]]-Table1438[[#This Row],[Pass-Thru Value per case ($)]])+Table1438[[#This Row],[Region 2: Fixed Fee Per Case ($)]]</f>
        <v>0</v>
      </c>
      <c r="W47" s="77" t="e">
        <f>(Table1438[[#This Row],[Commercial Bid Price per case for NOI ($)]]+Table1438[[#This Row],[Region 2: Fixed Fee Per Case ($)]])/Table1438[[#This Row],['# of CN Servings per case]]</f>
        <v>#DIV/0!</v>
      </c>
      <c r="X47" s="72" t="e">
        <f>Table1438[[#This Row],[Total Cost Per Serving (O+Q)/J]]*Table1438[[#This Row],[Estimated Servings Annual]]</f>
        <v>#DIV/0!</v>
      </c>
    </row>
    <row r="48" spans="1:24" x14ac:dyDescent="0.35">
      <c r="A48" s="30" t="s">
        <v>29</v>
      </c>
      <c r="B48" s="28" t="s">
        <v>138</v>
      </c>
      <c r="C48" s="7" t="s">
        <v>13</v>
      </c>
      <c r="D48" s="7"/>
      <c r="E48" s="7"/>
      <c r="F48" s="7"/>
      <c r="G48" s="7"/>
      <c r="H48" s="7"/>
      <c r="I48" s="7"/>
      <c r="J48" s="7"/>
      <c r="K48" s="49">
        <v>250000</v>
      </c>
      <c r="L48" s="7"/>
      <c r="M48" s="7"/>
      <c r="N48" s="7"/>
      <c r="O48" s="7"/>
      <c r="P48" s="7"/>
      <c r="Q48" s="7"/>
      <c r="R48" s="7"/>
      <c r="S48" s="70">
        <f>(Table1438[[#This Row],[Commercial Bid Price per case for NOI ($)]]-Table1438[[#This Row],[Pass-Thru Value per case ($)]])+Table1438[[#This Row],[Region 1: Fixed Fee Per Case ($)]]</f>
        <v>0</v>
      </c>
      <c r="T48" s="77" t="e">
        <f>(Table1438[[#This Row],[Commercial Bid Price per case for NOI ($)]]+Table1438[[#This Row],[Region 1: Fixed Fee Per Case ($)]])/Table1438[[#This Row],['# of CN Servings per case]]</f>
        <v>#DIV/0!</v>
      </c>
      <c r="U48" s="71" t="e">
        <f>Table1438[[#This Row],[Total Cost Per Serving (O+P)/J]]*Table1438[[#This Row],[Estimated Servings Annual]]</f>
        <v>#DIV/0!</v>
      </c>
      <c r="V48" s="70">
        <f>(Table1438[[#This Row],[Commercial Bid Price per case for NOI ($)]]-Table1438[[#This Row],[Pass-Thru Value per case ($)]])+Table1438[[#This Row],[Region 2: Fixed Fee Per Case ($)]]</f>
        <v>0</v>
      </c>
      <c r="W48" s="77" t="e">
        <f>(Table1438[[#This Row],[Commercial Bid Price per case for NOI ($)]]+Table1438[[#This Row],[Region 2: Fixed Fee Per Case ($)]])/Table1438[[#This Row],['# of CN Servings per case]]</f>
        <v>#DIV/0!</v>
      </c>
      <c r="X48" s="72" t="e">
        <f>Table1438[[#This Row],[Total Cost Per Serving (O+Q)/J]]*Table1438[[#This Row],[Estimated Servings Annual]]</f>
        <v>#DIV/0!</v>
      </c>
    </row>
    <row r="49" spans="1:24" x14ac:dyDescent="0.35">
      <c r="A49" s="30" t="s">
        <v>29</v>
      </c>
      <c r="B49" s="28" t="s">
        <v>138</v>
      </c>
      <c r="C49" s="7" t="s">
        <v>13</v>
      </c>
      <c r="D49" s="7"/>
      <c r="E49" s="7"/>
      <c r="F49" s="7"/>
      <c r="G49" s="7"/>
      <c r="H49" s="7"/>
      <c r="I49" s="7"/>
      <c r="J49" s="7"/>
      <c r="K49" s="49">
        <v>250000</v>
      </c>
      <c r="L49" s="7"/>
      <c r="M49" s="7"/>
      <c r="N49" s="7"/>
      <c r="O49" s="7"/>
      <c r="P49" s="7"/>
      <c r="Q49" s="7"/>
      <c r="R49" s="7"/>
      <c r="S49" s="70">
        <f>(Table1438[[#This Row],[Commercial Bid Price per case for NOI ($)]]-Table1438[[#This Row],[Pass-Thru Value per case ($)]])+Table1438[[#This Row],[Region 1: Fixed Fee Per Case ($)]]</f>
        <v>0</v>
      </c>
      <c r="T49" s="77" t="e">
        <f>(Table1438[[#This Row],[Commercial Bid Price per case for NOI ($)]]+Table1438[[#This Row],[Region 1: Fixed Fee Per Case ($)]])/Table1438[[#This Row],['# of CN Servings per case]]</f>
        <v>#DIV/0!</v>
      </c>
      <c r="U49" s="71" t="e">
        <f>Table1438[[#This Row],[Total Cost Per Serving (O+P)/J]]*Table1438[[#This Row],[Estimated Servings Annual]]</f>
        <v>#DIV/0!</v>
      </c>
      <c r="V49" s="70">
        <f>(Table1438[[#This Row],[Commercial Bid Price per case for NOI ($)]]-Table1438[[#This Row],[Pass-Thru Value per case ($)]])+Table1438[[#This Row],[Region 2: Fixed Fee Per Case ($)]]</f>
        <v>0</v>
      </c>
      <c r="W49" s="77" t="e">
        <f>(Table1438[[#This Row],[Commercial Bid Price per case for NOI ($)]]+Table1438[[#This Row],[Region 2: Fixed Fee Per Case ($)]])/Table1438[[#This Row],['# of CN Servings per case]]</f>
        <v>#DIV/0!</v>
      </c>
      <c r="X49" s="72" t="e">
        <f>Table1438[[#This Row],[Total Cost Per Serving (O+Q)/J]]*Table1438[[#This Row],[Estimated Servings Annual]]</f>
        <v>#DIV/0!</v>
      </c>
    </row>
    <row r="50" spans="1:24" ht="15" thickBot="1" x14ac:dyDescent="0.4">
      <c r="A50" s="30" t="s">
        <v>29</v>
      </c>
      <c r="B50" s="41" t="s">
        <v>138</v>
      </c>
      <c r="C50" s="8" t="s">
        <v>13</v>
      </c>
      <c r="D50" s="8"/>
      <c r="E50" s="8"/>
      <c r="F50" s="8"/>
      <c r="G50" s="8"/>
      <c r="H50" s="8"/>
      <c r="I50" s="8"/>
      <c r="J50" s="8"/>
      <c r="K50" s="50">
        <v>250000</v>
      </c>
      <c r="L50" s="8"/>
      <c r="M50" s="8"/>
      <c r="N50" s="8"/>
      <c r="O50" s="8"/>
      <c r="P50" s="8"/>
      <c r="Q50" s="8"/>
      <c r="R50" s="8"/>
      <c r="S50" s="73">
        <f>(Table1438[[#This Row],[Commercial Bid Price per case for NOI ($)]]-Table1438[[#This Row],[Pass-Thru Value per case ($)]])+Table1438[[#This Row],[Region 1: Fixed Fee Per Case ($)]]</f>
        <v>0</v>
      </c>
      <c r="T50" s="78" t="e">
        <f>(Table1438[[#This Row],[Commercial Bid Price per case for NOI ($)]]+Table1438[[#This Row],[Region 1: Fixed Fee Per Case ($)]])/Table1438[[#This Row],['# of CN Servings per case]]</f>
        <v>#DIV/0!</v>
      </c>
      <c r="U50" s="74" t="e">
        <f>Table1438[[#This Row],[Total Cost Per Serving (O+P)/J]]*Table1438[[#This Row],[Estimated Servings Annual]]</f>
        <v>#DIV/0!</v>
      </c>
      <c r="V50" s="73">
        <f>(Table1438[[#This Row],[Commercial Bid Price per case for NOI ($)]]-Table1438[[#This Row],[Pass-Thru Value per case ($)]])+Table1438[[#This Row],[Region 2: Fixed Fee Per Case ($)]]</f>
        <v>0</v>
      </c>
      <c r="W50" s="78" t="e">
        <f>(Table1438[[#This Row],[Commercial Bid Price per case for NOI ($)]]+Table1438[[#This Row],[Region 2: Fixed Fee Per Case ($)]])/Table1438[[#This Row],['# of CN Servings per case]]</f>
        <v>#DIV/0!</v>
      </c>
      <c r="X50" s="75" t="e">
        <f>Table1438[[#This Row],[Total Cost Per Serving (O+Q)/J]]*Table1438[[#This Row],[Estimated Servings Annual]]</f>
        <v>#DIV/0!</v>
      </c>
    </row>
    <row r="51" spans="1:24" x14ac:dyDescent="0.35">
      <c r="A51" s="30" t="s">
        <v>29</v>
      </c>
      <c r="B51" s="42" t="s">
        <v>139</v>
      </c>
      <c r="C51" s="6" t="s">
        <v>60</v>
      </c>
      <c r="D51" s="6"/>
      <c r="E51" s="6"/>
      <c r="F51" s="6"/>
      <c r="G51" s="6"/>
      <c r="H51" s="6"/>
      <c r="I51" s="6"/>
      <c r="J51" s="6"/>
      <c r="K51" s="48">
        <v>100000</v>
      </c>
      <c r="L51" s="6"/>
      <c r="M51" s="6"/>
      <c r="N51" s="6"/>
      <c r="O51" s="6"/>
      <c r="P51" s="6"/>
      <c r="Q51" s="6"/>
      <c r="R51" s="6"/>
      <c r="S51" s="67">
        <f>(Table1438[[#This Row],[Commercial Bid Price per case for NOI ($)]]-Table1438[[#This Row],[Pass-Thru Value per case ($)]])+Table1438[[#This Row],[Region 1: Fixed Fee Per Case ($)]]</f>
        <v>0</v>
      </c>
      <c r="T51" s="76" t="e">
        <f>(Table1438[[#This Row],[Commercial Bid Price per case for NOI ($)]]+Table1438[[#This Row],[Region 1: Fixed Fee Per Case ($)]])/Table1438[[#This Row],['# of CN Servings per case]]</f>
        <v>#DIV/0!</v>
      </c>
      <c r="U51" s="68" t="e">
        <f>Table1438[[#This Row],[Total Cost Per Serving (O+P)/J]]*Table1438[[#This Row],[Estimated Servings Annual]]</f>
        <v>#DIV/0!</v>
      </c>
      <c r="V51" s="67">
        <f>(Table1438[[#This Row],[Commercial Bid Price per case for NOI ($)]]-Table1438[[#This Row],[Pass-Thru Value per case ($)]])+Table1438[[#This Row],[Region 2: Fixed Fee Per Case ($)]]</f>
        <v>0</v>
      </c>
      <c r="W51" s="76" t="e">
        <f>(Table1438[[#This Row],[Commercial Bid Price per case for NOI ($)]]+Table1438[[#This Row],[Region 2: Fixed Fee Per Case ($)]])/Table1438[[#This Row],['# of CN Servings per case]]</f>
        <v>#DIV/0!</v>
      </c>
      <c r="X51" s="69" t="e">
        <f>Table1438[[#This Row],[Total Cost Per Serving (O+Q)/J]]*Table1438[[#This Row],[Estimated Servings Annual]]</f>
        <v>#DIV/0!</v>
      </c>
    </row>
    <row r="52" spans="1:24" x14ac:dyDescent="0.35">
      <c r="A52" s="30" t="s">
        <v>29</v>
      </c>
      <c r="B52" s="28" t="s">
        <v>139</v>
      </c>
      <c r="C52" s="7" t="s">
        <v>60</v>
      </c>
      <c r="D52" s="7"/>
      <c r="E52" s="7"/>
      <c r="F52" s="7"/>
      <c r="G52" s="7"/>
      <c r="H52" s="7"/>
      <c r="I52" s="7"/>
      <c r="J52" s="7"/>
      <c r="K52" s="49">
        <v>100000</v>
      </c>
      <c r="L52" s="7"/>
      <c r="M52" s="7"/>
      <c r="N52" s="7"/>
      <c r="O52" s="7"/>
      <c r="P52" s="7"/>
      <c r="Q52" s="7"/>
      <c r="R52" s="7"/>
      <c r="S52" s="70">
        <f>(Table1438[[#This Row],[Commercial Bid Price per case for NOI ($)]]-Table1438[[#This Row],[Pass-Thru Value per case ($)]])+Table1438[[#This Row],[Region 1: Fixed Fee Per Case ($)]]</f>
        <v>0</v>
      </c>
      <c r="T52" s="77" t="e">
        <f>(Table1438[[#This Row],[Commercial Bid Price per case for NOI ($)]]+Table1438[[#This Row],[Region 1: Fixed Fee Per Case ($)]])/Table1438[[#This Row],['# of CN Servings per case]]</f>
        <v>#DIV/0!</v>
      </c>
      <c r="U52" s="71" t="e">
        <f>Table1438[[#This Row],[Total Cost Per Serving (O+P)/J]]*Table1438[[#This Row],[Estimated Servings Annual]]</f>
        <v>#DIV/0!</v>
      </c>
      <c r="V52" s="70">
        <f>(Table1438[[#This Row],[Commercial Bid Price per case for NOI ($)]]-Table1438[[#This Row],[Pass-Thru Value per case ($)]])+Table1438[[#This Row],[Region 2: Fixed Fee Per Case ($)]]</f>
        <v>0</v>
      </c>
      <c r="W52" s="77" t="e">
        <f>(Table1438[[#This Row],[Commercial Bid Price per case for NOI ($)]]+Table1438[[#This Row],[Region 2: Fixed Fee Per Case ($)]])/Table1438[[#This Row],['# of CN Servings per case]]</f>
        <v>#DIV/0!</v>
      </c>
      <c r="X52" s="72" t="e">
        <f>Table1438[[#This Row],[Total Cost Per Serving (O+Q)/J]]*Table1438[[#This Row],[Estimated Servings Annual]]</f>
        <v>#DIV/0!</v>
      </c>
    </row>
    <row r="53" spans="1:24" x14ac:dyDescent="0.35">
      <c r="A53" s="30" t="s">
        <v>29</v>
      </c>
      <c r="B53" s="28" t="s">
        <v>139</v>
      </c>
      <c r="C53" s="7" t="s">
        <v>12</v>
      </c>
      <c r="D53" s="7"/>
      <c r="E53" s="7"/>
      <c r="F53" s="7"/>
      <c r="G53" s="7"/>
      <c r="H53" s="7"/>
      <c r="I53" s="7"/>
      <c r="J53" s="7"/>
      <c r="K53" s="49">
        <v>100000</v>
      </c>
      <c r="L53" s="7"/>
      <c r="M53" s="7"/>
      <c r="N53" s="7"/>
      <c r="O53" s="7"/>
      <c r="P53" s="7"/>
      <c r="Q53" s="7"/>
      <c r="R53" s="7"/>
      <c r="S53" s="70">
        <f>(Table1438[[#This Row],[Commercial Bid Price per case for NOI ($)]]-Table1438[[#This Row],[Pass-Thru Value per case ($)]])+Table1438[[#This Row],[Region 1: Fixed Fee Per Case ($)]]</f>
        <v>0</v>
      </c>
      <c r="T53" s="77" t="e">
        <f>(Table1438[[#This Row],[Commercial Bid Price per case for NOI ($)]]+Table1438[[#This Row],[Region 1: Fixed Fee Per Case ($)]])/Table1438[[#This Row],['# of CN Servings per case]]</f>
        <v>#DIV/0!</v>
      </c>
      <c r="U53" s="71" t="e">
        <f>Table1438[[#This Row],[Total Cost Per Serving (O+P)/J]]*Table1438[[#This Row],[Estimated Servings Annual]]</f>
        <v>#DIV/0!</v>
      </c>
      <c r="V53" s="70">
        <f>(Table1438[[#This Row],[Commercial Bid Price per case for NOI ($)]]-Table1438[[#This Row],[Pass-Thru Value per case ($)]])+Table1438[[#This Row],[Region 2: Fixed Fee Per Case ($)]]</f>
        <v>0</v>
      </c>
      <c r="W53" s="77" t="e">
        <f>(Table1438[[#This Row],[Commercial Bid Price per case for NOI ($)]]+Table1438[[#This Row],[Region 2: Fixed Fee Per Case ($)]])/Table1438[[#This Row],['# of CN Servings per case]]</f>
        <v>#DIV/0!</v>
      </c>
      <c r="X53" s="72" t="e">
        <f>Table1438[[#This Row],[Total Cost Per Serving (O+Q)/J]]*Table1438[[#This Row],[Estimated Servings Annual]]</f>
        <v>#DIV/0!</v>
      </c>
    </row>
    <row r="54" spans="1:24" x14ac:dyDescent="0.35">
      <c r="A54" s="30" t="s">
        <v>29</v>
      </c>
      <c r="B54" s="28" t="s">
        <v>139</v>
      </c>
      <c r="C54" s="7" t="s">
        <v>12</v>
      </c>
      <c r="D54" s="7"/>
      <c r="E54" s="7"/>
      <c r="F54" s="7"/>
      <c r="G54" s="7"/>
      <c r="H54" s="7"/>
      <c r="I54" s="7"/>
      <c r="J54" s="7"/>
      <c r="K54" s="49">
        <v>100000</v>
      </c>
      <c r="L54" s="7"/>
      <c r="M54" s="7"/>
      <c r="N54" s="7"/>
      <c r="O54" s="7"/>
      <c r="P54" s="7"/>
      <c r="Q54" s="7"/>
      <c r="R54" s="7"/>
      <c r="S54" s="70">
        <f>(Table1438[[#This Row],[Commercial Bid Price per case for NOI ($)]]-Table1438[[#This Row],[Pass-Thru Value per case ($)]])+Table1438[[#This Row],[Region 1: Fixed Fee Per Case ($)]]</f>
        <v>0</v>
      </c>
      <c r="T54" s="77" t="e">
        <f>(Table1438[[#This Row],[Commercial Bid Price per case for NOI ($)]]+Table1438[[#This Row],[Region 1: Fixed Fee Per Case ($)]])/Table1438[[#This Row],['# of CN Servings per case]]</f>
        <v>#DIV/0!</v>
      </c>
      <c r="U54" s="71" t="e">
        <f>Table1438[[#This Row],[Total Cost Per Serving (O+P)/J]]*Table1438[[#This Row],[Estimated Servings Annual]]</f>
        <v>#DIV/0!</v>
      </c>
      <c r="V54" s="70">
        <f>(Table1438[[#This Row],[Commercial Bid Price per case for NOI ($)]]-Table1438[[#This Row],[Pass-Thru Value per case ($)]])+Table1438[[#This Row],[Region 2: Fixed Fee Per Case ($)]]</f>
        <v>0</v>
      </c>
      <c r="W54" s="77" t="e">
        <f>(Table1438[[#This Row],[Commercial Bid Price per case for NOI ($)]]+Table1438[[#This Row],[Region 2: Fixed Fee Per Case ($)]])/Table1438[[#This Row],['# of CN Servings per case]]</f>
        <v>#DIV/0!</v>
      </c>
      <c r="X54" s="72" t="e">
        <f>Table1438[[#This Row],[Total Cost Per Serving (O+Q)/J]]*Table1438[[#This Row],[Estimated Servings Annual]]</f>
        <v>#DIV/0!</v>
      </c>
    </row>
    <row r="55" spans="1:24" x14ac:dyDescent="0.35">
      <c r="A55" s="30" t="s">
        <v>29</v>
      </c>
      <c r="B55" s="28" t="s">
        <v>139</v>
      </c>
      <c r="C55" s="7" t="s">
        <v>13</v>
      </c>
      <c r="D55" s="7"/>
      <c r="E55" s="7"/>
      <c r="F55" s="7"/>
      <c r="G55" s="7"/>
      <c r="H55" s="7"/>
      <c r="I55" s="7"/>
      <c r="J55" s="7"/>
      <c r="K55" s="49">
        <v>100000</v>
      </c>
      <c r="L55" s="7"/>
      <c r="M55" s="7"/>
      <c r="N55" s="7"/>
      <c r="O55" s="7"/>
      <c r="P55" s="7"/>
      <c r="Q55" s="7"/>
      <c r="R55" s="7"/>
      <c r="S55" s="70">
        <f>(Table1438[[#This Row],[Commercial Bid Price per case for NOI ($)]]-Table1438[[#This Row],[Pass-Thru Value per case ($)]])+Table1438[[#This Row],[Region 1: Fixed Fee Per Case ($)]]</f>
        <v>0</v>
      </c>
      <c r="T55" s="77" t="e">
        <f>(Table1438[[#This Row],[Commercial Bid Price per case for NOI ($)]]+Table1438[[#This Row],[Region 1: Fixed Fee Per Case ($)]])/Table1438[[#This Row],['# of CN Servings per case]]</f>
        <v>#DIV/0!</v>
      </c>
      <c r="U55" s="71" t="e">
        <f>Table1438[[#This Row],[Total Cost Per Serving (O+P)/J]]*Table1438[[#This Row],[Estimated Servings Annual]]</f>
        <v>#DIV/0!</v>
      </c>
      <c r="V55" s="70">
        <f>(Table1438[[#This Row],[Commercial Bid Price per case for NOI ($)]]-Table1438[[#This Row],[Pass-Thru Value per case ($)]])+Table1438[[#This Row],[Region 2: Fixed Fee Per Case ($)]]</f>
        <v>0</v>
      </c>
      <c r="W55" s="77" t="e">
        <f>(Table1438[[#This Row],[Commercial Bid Price per case for NOI ($)]]+Table1438[[#This Row],[Region 2: Fixed Fee Per Case ($)]])/Table1438[[#This Row],['# of CN Servings per case]]</f>
        <v>#DIV/0!</v>
      </c>
      <c r="X55" s="72" t="e">
        <f>Table1438[[#This Row],[Total Cost Per Serving (O+Q)/J]]*Table1438[[#This Row],[Estimated Servings Annual]]</f>
        <v>#DIV/0!</v>
      </c>
    </row>
    <row r="56" spans="1:24" x14ac:dyDescent="0.35">
      <c r="A56" s="30" t="s">
        <v>29</v>
      </c>
      <c r="B56" s="28" t="s">
        <v>139</v>
      </c>
      <c r="C56" s="7" t="s">
        <v>13</v>
      </c>
      <c r="D56" s="7"/>
      <c r="E56" s="7"/>
      <c r="F56" s="7"/>
      <c r="G56" s="7"/>
      <c r="H56" s="7"/>
      <c r="I56" s="7"/>
      <c r="J56" s="7"/>
      <c r="K56" s="49">
        <v>100000</v>
      </c>
      <c r="L56" s="7"/>
      <c r="M56" s="7"/>
      <c r="N56" s="7"/>
      <c r="O56" s="7"/>
      <c r="P56" s="7"/>
      <c r="Q56" s="7"/>
      <c r="R56" s="7"/>
      <c r="S56" s="70">
        <f>(Table1438[[#This Row],[Commercial Bid Price per case for NOI ($)]]-Table1438[[#This Row],[Pass-Thru Value per case ($)]])+Table1438[[#This Row],[Region 1: Fixed Fee Per Case ($)]]</f>
        <v>0</v>
      </c>
      <c r="T56" s="77" t="e">
        <f>(Table1438[[#This Row],[Commercial Bid Price per case for NOI ($)]]+Table1438[[#This Row],[Region 1: Fixed Fee Per Case ($)]])/Table1438[[#This Row],['# of CN Servings per case]]</f>
        <v>#DIV/0!</v>
      </c>
      <c r="U56" s="71" t="e">
        <f>Table1438[[#This Row],[Total Cost Per Serving (O+P)/J]]*Table1438[[#This Row],[Estimated Servings Annual]]</f>
        <v>#DIV/0!</v>
      </c>
      <c r="V56" s="70">
        <f>(Table1438[[#This Row],[Commercial Bid Price per case for NOI ($)]]-Table1438[[#This Row],[Pass-Thru Value per case ($)]])+Table1438[[#This Row],[Region 2: Fixed Fee Per Case ($)]]</f>
        <v>0</v>
      </c>
      <c r="W56" s="77" t="e">
        <f>(Table1438[[#This Row],[Commercial Bid Price per case for NOI ($)]]+Table1438[[#This Row],[Region 2: Fixed Fee Per Case ($)]])/Table1438[[#This Row],['# of CN Servings per case]]</f>
        <v>#DIV/0!</v>
      </c>
      <c r="X56" s="72" t="e">
        <f>Table1438[[#This Row],[Total Cost Per Serving (O+Q)/J]]*Table1438[[#This Row],[Estimated Servings Annual]]</f>
        <v>#DIV/0!</v>
      </c>
    </row>
    <row r="57" spans="1:24" x14ac:dyDescent="0.35">
      <c r="A57" s="30" t="s">
        <v>29</v>
      </c>
      <c r="B57" s="28" t="s">
        <v>139</v>
      </c>
      <c r="C57" s="7" t="s">
        <v>13</v>
      </c>
      <c r="D57" s="7"/>
      <c r="E57" s="7"/>
      <c r="F57" s="7"/>
      <c r="G57" s="7"/>
      <c r="H57" s="7"/>
      <c r="I57" s="7"/>
      <c r="J57" s="7"/>
      <c r="K57" s="49">
        <v>100000</v>
      </c>
      <c r="L57" s="7"/>
      <c r="M57" s="7"/>
      <c r="N57" s="7"/>
      <c r="O57" s="7"/>
      <c r="P57" s="7"/>
      <c r="Q57" s="7"/>
      <c r="R57" s="7"/>
      <c r="S57" s="70">
        <f>(Table1438[[#This Row],[Commercial Bid Price per case for NOI ($)]]-Table1438[[#This Row],[Pass-Thru Value per case ($)]])+Table1438[[#This Row],[Region 1: Fixed Fee Per Case ($)]]</f>
        <v>0</v>
      </c>
      <c r="T57" s="77" t="e">
        <f>(Table1438[[#This Row],[Commercial Bid Price per case for NOI ($)]]+Table1438[[#This Row],[Region 1: Fixed Fee Per Case ($)]])/Table1438[[#This Row],['# of CN Servings per case]]</f>
        <v>#DIV/0!</v>
      </c>
      <c r="U57" s="71" t="e">
        <f>Table1438[[#This Row],[Total Cost Per Serving (O+P)/J]]*Table1438[[#This Row],[Estimated Servings Annual]]</f>
        <v>#DIV/0!</v>
      </c>
      <c r="V57" s="70">
        <f>(Table1438[[#This Row],[Commercial Bid Price per case for NOI ($)]]-Table1438[[#This Row],[Pass-Thru Value per case ($)]])+Table1438[[#This Row],[Region 2: Fixed Fee Per Case ($)]]</f>
        <v>0</v>
      </c>
      <c r="W57" s="77" t="e">
        <f>(Table1438[[#This Row],[Commercial Bid Price per case for NOI ($)]]+Table1438[[#This Row],[Region 2: Fixed Fee Per Case ($)]])/Table1438[[#This Row],['# of CN Servings per case]]</f>
        <v>#DIV/0!</v>
      </c>
      <c r="X57" s="72" t="e">
        <f>Table1438[[#This Row],[Total Cost Per Serving (O+Q)/J]]*Table1438[[#This Row],[Estimated Servings Annual]]</f>
        <v>#DIV/0!</v>
      </c>
    </row>
    <row r="58" spans="1:24" ht="15" thickBot="1" x14ac:dyDescent="0.4">
      <c r="A58" s="30" t="s">
        <v>29</v>
      </c>
      <c r="B58" s="28" t="s">
        <v>139</v>
      </c>
      <c r="C58" s="8" t="s">
        <v>13</v>
      </c>
      <c r="D58" s="8"/>
      <c r="E58" s="8"/>
      <c r="F58" s="8"/>
      <c r="G58" s="8"/>
      <c r="H58" s="8"/>
      <c r="I58" s="8"/>
      <c r="J58" s="8"/>
      <c r="K58" s="49">
        <v>100000</v>
      </c>
      <c r="L58" s="8"/>
      <c r="M58" s="8"/>
      <c r="N58" s="8"/>
      <c r="O58" s="8"/>
      <c r="P58" s="8"/>
      <c r="Q58" s="8"/>
      <c r="R58" s="8"/>
      <c r="S58" s="73">
        <f>(Table1438[[#This Row],[Commercial Bid Price per case for NOI ($)]]-Table1438[[#This Row],[Pass-Thru Value per case ($)]])+Table1438[[#This Row],[Region 1: Fixed Fee Per Case ($)]]</f>
        <v>0</v>
      </c>
      <c r="T58" s="78" t="e">
        <f>(Table1438[[#This Row],[Commercial Bid Price per case for NOI ($)]]+Table1438[[#This Row],[Region 1: Fixed Fee Per Case ($)]])/Table1438[[#This Row],['# of CN Servings per case]]</f>
        <v>#DIV/0!</v>
      </c>
      <c r="U58" s="74" t="e">
        <f>Table1438[[#This Row],[Total Cost Per Serving (O+P)/J]]*Table1438[[#This Row],[Estimated Servings Annual]]</f>
        <v>#DIV/0!</v>
      </c>
      <c r="V58" s="73">
        <f>(Table1438[[#This Row],[Commercial Bid Price per case for NOI ($)]]-Table1438[[#This Row],[Pass-Thru Value per case ($)]])+Table1438[[#This Row],[Region 2: Fixed Fee Per Case ($)]]</f>
        <v>0</v>
      </c>
      <c r="W58" s="78" t="e">
        <f>(Table1438[[#This Row],[Commercial Bid Price per case for NOI ($)]]+Table1438[[#This Row],[Region 2: Fixed Fee Per Case ($)]])/Table1438[[#This Row],['# of CN Servings per case]]</f>
        <v>#DIV/0!</v>
      </c>
      <c r="X58" s="75" t="e">
        <f>Table1438[[#This Row],[Total Cost Per Serving (O+Q)/J]]*Table1438[[#This Row],[Estimated Servings Annual]]</f>
        <v>#DIV/0!</v>
      </c>
    </row>
    <row r="59" spans="1:24" x14ac:dyDescent="0.35">
      <c r="A59" s="30" t="s">
        <v>29</v>
      </c>
      <c r="B59" s="42" t="s">
        <v>140</v>
      </c>
      <c r="C59" s="6" t="s">
        <v>60</v>
      </c>
      <c r="D59" s="6"/>
      <c r="E59" s="6"/>
      <c r="F59" s="6"/>
      <c r="G59" s="6"/>
      <c r="H59" s="6"/>
      <c r="I59" s="6"/>
      <c r="J59" s="6"/>
      <c r="K59" s="48">
        <v>125000</v>
      </c>
      <c r="L59" s="6"/>
      <c r="M59" s="6"/>
      <c r="N59" s="6"/>
      <c r="O59" s="6"/>
      <c r="P59" s="6"/>
      <c r="Q59" s="6"/>
      <c r="R59" s="6"/>
      <c r="S59" s="79">
        <f>(Table1438[[#This Row],[Commercial Bid Price per case for NOI ($)]]-Table1438[[#This Row],[Pass-Thru Value per case ($)]])+Table1438[[#This Row],[Region 1: Fixed Fee Per Case ($)]]</f>
        <v>0</v>
      </c>
      <c r="T59" s="76" t="e">
        <f>(Table1438[[#This Row],[Commercial Bid Price per case for NOI ($)]]+Table1438[[#This Row],[Region 1: Fixed Fee Per Case ($)]])/Table1438[[#This Row],['# of CN Servings per case]]</f>
        <v>#DIV/0!</v>
      </c>
      <c r="U59" s="76" t="e">
        <f>Table1438[[#This Row],[Total Cost Per Serving (O+P)/J]]*Table1438[[#This Row],[Estimated Servings Annual]]</f>
        <v>#DIV/0!</v>
      </c>
      <c r="V59" s="79">
        <f>(Table1438[[#This Row],[Commercial Bid Price per case for NOI ($)]]-Table1438[[#This Row],[Pass-Thru Value per case ($)]])+Table1438[[#This Row],[Region 2: Fixed Fee Per Case ($)]]</f>
        <v>0</v>
      </c>
      <c r="W59" s="76" t="e">
        <f>(Table1438[[#This Row],[Commercial Bid Price per case for NOI ($)]]+Table1438[[#This Row],[Region 2: Fixed Fee Per Case ($)]])/Table1438[[#This Row],['# of CN Servings per case]]</f>
        <v>#DIV/0!</v>
      </c>
      <c r="X59" s="80" t="e">
        <f>Table1438[[#This Row],[Total Cost Per Serving (O+Q)/J]]*Table1438[[#This Row],[Estimated Servings Annual]]</f>
        <v>#DIV/0!</v>
      </c>
    </row>
    <row r="60" spans="1:24" x14ac:dyDescent="0.35">
      <c r="A60" s="30" t="s">
        <v>29</v>
      </c>
      <c r="B60" s="28" t="s">
        <v>140</v>
      </c>
      <c r="C60" s="7" t="s">
        <v>60</v>
      </c>
      <c r="D60" s="7"/>
      <c r="E60" s="7"/>
      <c r="F60" s="7"/>
      <c r="G60" s="7"/>
      <c r="H60" s="7"/>
      <c r="I60" s="7"/>
      <c r="J60" s="7"/>
      <c r="K60" s="49">
        <v>125000</v>
      </c>
      <c r="L60" s="7"/>
      <c r="M60" s="7"/>
      <c r="N60" s="7"/>
      <c r="O60" s="7"/>
      <c r="P60" s="7"/>
      <c r="Q60" s="7"/>
      <c r="R60" s="7"/>
      <c r="S60" s="81">
        <f>(Table1438[[#This Row],[Commercial Bid Price per case for NOI ($)]]-Table1438[[#This Row],[Pass-Thru Value per case ($)]])+Table1438[[#This Row],[Region 1: Fixed Fee Per Case ($)]]</f>
        <v>0</v>
      </c>
      <c r="T60" s="77" t="e">
        <f>(Table1438[[#This Row],[Commercial Bid Price per case for NOI ($)]]+Table1438[[#This Row],[Region 1: Fixed Fee Per Case ($)]])/Table1438[[#This Row],['# of CN Servings per case]]</f>
        <v>#DIV/0!</v>
      </c>
      <c r="U60" s="77" t="e">
        <f>Table1438[[#This Row],[Total Cost Per Serving (O+P)/J]]*Table1438[[#This Row],[Estimated Servings Annual]]</f>
        <v>#DIV/0!</v>
      </c>
      <c r="V60" s="81">
        <f>(Table1438[[#This Row],[Commercial Bid Price per case for NOI ($)]]-Table1438[[#This Row],[Pass-Thru Value per case ($)]])+Table1438[[#This Row],[Region 2: Fixed Fee Per Case ($)]]</f>
        <v>0</v>
      </c>
      <c r="W60" s="77" t="e">
        <f>(Table1438[[#This Row],[Commercial Bid Price per case for NOI ($)]]+Table1438[[#This Row],[Region 2: Fixed Fee Per Case ($)]])/Table1438[[#This Row],['# of CN Servings per case]]</f>
        <v>#DIV/0!</v>
      </c>
      <c r="X60" s="82" t="e">
        <f>Table1438[[#This Row],[Total Cost Per Serving (O+Q)/J]]*Table1438[[#This Row],[Estimated Servings Annual]]</f>
        <v>#DIV/0!</v>
      </c>
    </row>
    <row r="61" spans="1:24" x14ac:dyDescent="0.35">
      <c r="A61" s="30" t="s">
        <v>29</v>
      </c>
      <c r="B61" s="28" t="s">
        <v>140</v>
      </c>
      <c r="C61" s="7" t="s">
        <v>12</v>
      </c>
      <c r="D61" s="7"/>
      <c r="E61" s="7"/>
      <c r="F61" s="7"/>
      <c r="G61" s="7"/>
      <c r="H61" s="7"/>
      <c r="I61" s="7"/>
      <c r="J61" s="7"/>
      <c r="K61" s="49">
        <v>125000</v>
      </c>
      <c r="L61" s="7"/>
      <c r="M61" s="7"/>
      <c r="N61" s="7"/>
      <c r="O61" s="7"/>
      <c r="P61" s="7"/>
      <c r="Q61" s="7"/>
      <c r="R61" s="7"/>
      <c r="S61" s="81">
        <f>(Table1438[[#This Row],[Commercial Bid Price per case for NOI ($)]]-Table1438[[#This Row],[Pass-Thru Value per case ($)]])+Table1438[[#This Row],[Region 1: Fixed Fee Per Case ($)]]</f>
        <v>0</v>
      </c>
      <c r="T61" s="77" t="e">
        <f>(Table1438[[#This Row],[Commercial Bid Price per case for NOI ($)]]+Table1438[[#This Row],[Region 1: Fixed Fee Per Case ($)]])/Table1438[[#This Row],['# of CN Servings per case]]</f>
        <v>#DIV/0!</v>
      </c>
      <c r="U61" s="77" t="e">
        <f>Table1438[[#This Row],[Total Cost Per Serving (O+P)/J]]*Table1438[[#This Row],[Estimated Servings Annual]]</f>
        <v>#DIV/0!</v>
      </c>
      <c r="V61" s="81">
        <f>(Table1438[[#This Row],[Commercial Bid Price per case for NOI ($)]]-Table1438[[#This Row],[Pass-Thru Value per case ($)]])+Table1438[[#This Row],[Region 2: Fixed Fee Per Case ($)]]</f>
        <v>0</v>
      </c>
      <c r="W61" s="77" t="e">
        <f>(Table1438[[#This Row],[Commercial Bid Price per case for NOI ($)]]+Table1438[[#This Row],[Region 2: Fixed Fee Per Case ($)]])/Table1438[[#This Row],['# of CN Servings per case]]</f>
        <v>#DIV/0!</v>
      </c>
      <c r="X61" s="82" t="e">
        <f>Table1438[[#This Row],[Total Cost Per Serving (O+Q)/J]]*Table1438[[#This Row],[Estimated Servings Annual]]</f>
        <v>#DIV/0!</v>
      </c>
    </row>
    <row r="62" spans="1:24" x14ac:dyDescent="0.35">
      <c r="A62" s="30" t="s">
        <v>29</v>
      </c>
      <c r="B62" s="28" t="s">
        <v>140</v>
      </c>
      <c r="C62" s="7" t="s">
        <v>12</v>
      </c>
      <c r="D62" s="7"/>
      <c r="E62" s="7"/>
      <c r="F62" s="7"/>
      <c r="G62" s="7"/>
      <c r="H62" s="7"/>
      <c r="I62" s="7"/>
      <c r="J62" s="7"/>
      <c r="K62" s="49">
        <v>125000</v>
      </c>
      <c r="L62" s="7"/>
      <c r="M62" s="7"/>
      <c r="N62" s="7"/>
      <c r="O62" s="7"/>
      <c r="P62" s="7"/>
      <c r="Q62" s="7"/>
      <c r="R62" s="7"/>
      <c r="S62" s="81">
        <f>(Table1438[[#This Row],[Commercial Bid Price per case for NOI ($)]]-Table1438[[#This Row],[Pass-Thru Value per case ($)]])+Table1438[[#This Row],[Region 1: Fixed Fee Per Case ($)]]</f>
        <v>0</v>
      </c>
      <c r="T62" s="77" t="e">
        <f>(Table1438[[#This Row],[Commercial Bid Price per case for NOI ($)]]+Table1438[[#This Row],[Region 1: Fixed Fee Per Case ($)]])/Table1438[[#This Row],['# of CN Servings per case]]</f>
        <v>#DIV/0!</v>
      </c>
      <c r="U62" s="77" t="e">
        <f>Table1438[[#This Row],[Total Cost Per Serving (O+P)/J]]*Table1438[[#This Row],[Estimated Servings Annual]]</f>
        <v>#DIV/0!</v>
      </c>
      <c r="V62" s="81">
        <f>(Table1438[[#This Row],[Commercial Bid Price per case for NOI ($)]]-Table1438[[#This Row],[Pass-Thru Value per case ($)]])+Table1438[[#This Row],[Region 2: Fixed Fee Per Case ($)]]</f>
        <v>0</v>
      </c>
      <c r="W62" s="77" t="e">
        <f>(Table1438[[#This Row],[Commercial Bid Price per case for NOI ($)]]+Table1438[[#This Row],[Region 2: Fixed Fee Per Case ($)]])/Table1438[[#This Row],['# of CN Servings per case]]</f>
        <v>#DIV/0!</v>
      </c>
      <c r="X62" s="82" t="e">
        <f>Table1438[[#This Row],[Total Cost Per Serving (O+Q)/J]]*Table1438[[#This Row],[Estimated Servings Annual]]</f>
        <v>#DIV/0!</v>
      </c>
    </row>
    <row r="63" spans="1:24" x14ac:dyDescent="0.35">
      <c r="A63" s="30" t="s">
        <v>29</v>
      </c>
      <c r="B63" s="28" t="s">
        <v>140</v>
      </c>
      <c r="C63" s="7" t="s">
        <v>13</v>
      </c>
      <c r="D63" s="7"/>
      <c r="E63" s="7"/>
      <c r="F63" s="7"/>
      <c r="G63" s="7"/>
      <c r="H63" s="7"/>
      <c r="I63" s="7"/>
      <c r="J63" s="7"/>
      <c r="K63" s="49">
        <v>125000</v>
      </c>
      <c r="L63" s="7"/>
      <c r="M63" s="7"/>
      <c r="N63" s="7"/>
      <c r="O63" s="7"/>
      <c r="P63" s="7"/>
      <c r="Q63" s="7"/>
      <c r="R63" s="7"/>
      <c r="S63" s="81">
        <f>(Table1438[[#This Row],[Commercial Bid Price per case for NOI ($)]]-Table1438[[#This Row],[Pass-Thru Value per case ($)]])+Table1438[[#This Row],[Region 1: Fixed Fee Per Case ($)]]</f>
        <v>0</v>
      </c>
      <c r="T63" s="77" t="e">
        <f>(Table1438[[#This Row],[Commercial Bid Price per case for NOI ($)]]+Table1438[[#This Row],[Region 1: Fixed Fee Per Case ($)]])/Table1438[[#This Row],['# of CN Servings per case]]</f>
        <v>#DIV/0!</v>
      </c>
      <c r="U63" s="77" t="e">
        <f>Table1438[[#This Row],[Total Cost Per Serving (O+P)/J]]*Table1438[[#This Row],[Estimated Servings Annual]]</f>
        <v>#DIV/0!</v>
      </c>
      <c r="V63" s="81">
        <f>(Table1438[[#This Row],[Commercial Bid Price per case for NOI ($)]]-Table1438[[#This Row],[Pass-Thru Value per case ($)]])+Table1438[[#This Row],[Region 2: Fixed Fee Per Case ($)]]</f>
        <v>0</v>
      </c>
      <c r="W63" s="77" t="e">
        <f>(Table1438[[#This Row],[Commercial Bid Price per case for NOI ($)]]+Table1438[[#This Row],[Region 2: Fixed Fee Per Case ($)]])/Table1438[[#This Row],['# of CN Servings per case]]</f>
        <v>#DIV/0!</v>
      </c>
      <c r="X63" s="82" t="e">
        <f>Table1438[[#This Row],[Total Cost Per Serving (O+Q)/J]]*Table1438[[#This Row],[Estimated Servings Annual]]</f>
        <v>#DIV/0!</v>
      </c>
    </row>
    <row r="64" spans="1:24" x14ac:dyDescent="0.35">
      <c r="A64" s="30" t="s">
        <v>29</v>
      </c>
      <c r="B64" s="28" t="s">
        <v>140</v>
      </c>
      <c r="C64" s="7" t="s">
        <v>13</v>
      </c>
      <c r="D64" s="7"/>
      <c r="E64" s="7"/>
      <c r="F64" s="7"/>
      <c r="G64" s="7"/>
      <c r="H64" s="7"/>
      <c r="I64" s="7"/>
      <c r="J64" s="7"/>
      <c r="K64" s="49">
        <v>125000</v>
      </c>
      <c r="L64" s="7"/>
      <c r="M64" s="7"/>
      <c r="N64" s="7"/>
      <c r="O64" s="7"/>
      <c r="P64" s="7"/>
      <c r="Q64" s="7"/>
      <c r="R64" s="7"/>
      <c r="S64" s="81">
        <f>(Table1438[[#This Row],[Commercial Bid Price per case for NOI ($)]]-Table1438[[#This Row],[Pass-Thru Value per case ($)]])+Table1438[[#This Row],[Region 1: Fixed Fee Per Case ($)]]</f>
        <v>0</v>
      </c>
      <c r="T64" s="77" t="e">
        <f>(Table1438[[#This Row],[Commercial Bid Price per case for NOI ($)]]+Table1438[[#This Row],[Region 1: Fixed Fee Per Case ($)]])/Table1438[[#This Row],['# of CN Servings per case]]</f>
        <v>#DIV/0!</v>
      </c>
      <c r="U64" s="77" t="e">
        <f>Table1438[[#This Row],[Total Cost Per Serving (O+P)/J]]*Table1438[[#This Row],[Estimated Servings Annual]]</f>
        <v>#DIV/0!</v>
      </c>
      <c r="V64" s="81">
        <f>(Table1438[[#This Row],[Commercial Bid Price per case for NOI ($)]]-Table1438[[#This Row],[Pass-Thru Value per case ($)]])+Table1438[[#This Row],[Region 2: Fixed Fee Per Case ($)]]</f>
        <v>0</v>
      </c>
      <c r="W64" s="77" t="e">
        <f>(Table1438[[#This Row],[Commercial Bid Price per case for NOI ($)]]+Table1438[[#This Row],[Region 2: Fixed Fee Per Case ($)]])/Table1438[[#This Row],['# of CN Servings per case]]</f>
        <v>#DIV/0!</v>
      </c>
      <c r="X64" s="82" t="e">
        <f>Table1438[[#This Row],[Total Cost Per Serving (O+Q)/J]]*Table1438[[#This Row],[Estimated Servings Annual]]</f>
        <v>#DIV/0!</v>
      </c>
    </row>
    <row r="65" spans="1:24" x14ac:dyDescent="0.35">
      <c r="A65" s="30" t="s">
        <v>29</v>
      </c>
      <c r="B65" s="28" t="s">
        <v>140</v>
      </c>
      <c r="C65" s="7" t="s">
        <v>13</v>
      </c>
      <c r="D65" s="7"/>
      <c r="E65" s="7"/>
      <c r="F65" s="7"/>
      <c r="G65" s="7"/>
      <c r="H65" s="7"/>
      <c r="I65" s="7"/>
      <c r="J65" s="7"/>
      <c r="K65" s="49">
        <v>125000</v>
      </c>
      <c r="L65" s="7"/>
      <c r="M65" s="7"/>
      <c r="N65" s="7"/>
      <c r="O65" s="7"/>
      <c r="P65" s="7"/>
      <c r="Q65" s="7"/>
      <c r="R65" s="7"/>
      <c r="S65" s="81">
        <f>(Table1438[[#This Row],[Commercial Bid Price per case for NOI ($)]]-Table1438[[#This Row],[Pass-Thru Value per case ($)]])+Table1438[[#This Row],[Region 1: Fixed Fee Per Case ($)]]</f>
        <v>0</v>
      </c>
      <c r="T65" s="77" t="e">
        <f>(Table1438[[#This Row],[Commercial Bid Price per case for NOI ($)]]+Table1438[[#This Row],[Region 1: Fixed Fee Per Case ($)]])/Table1438[[#This Row],['# of CN Servings per case]]</f>
        <v>#DIV/0!</v>
      </c>
      <c r="U65" s="77" t="e">
        <f>Table1438[[#This Row],[Total Cost Per Serving (O+P)/J]]*Table1438[[#This Row],[Estimated Servings Annual]]</f>
        <v>#DIV/0!</v>
      </c>
      <c r="V65" s="81">
        <f>(Table1438[[#This Row],[Commercial Bid Price per case for NOI ($)]]-Table1438[[#This Row],[Pass-Thru Value per case ($)]])+Table1438[[#This Row],[Region 2: Fixed Fee Per Case ($)]]</f>
        <v>0</v>
      </c>
      <c r="W65" s="77" t="e">
        <f>(Table1438[[#This Row],[Commercial Bid Price per case for NOI ($)]]+Table1438[[#This Row],[Region 2: Fixed Fee Per Case ($)]])/Table1438[[#This Row],['# of CN Servings per case]]</f>
        <v>#DIV/0!</v>
      </c>
      <c r="X65" s="82" t="e">
        <f>Table1438[[#This Row],[Total Cost Per Serving (O+Q)/J]]*Table1438[[#This Row],[Estimated Servings Annual]]</f>
        <v>#DIV/0!</v>
      </c>
    </row>
    <row r="66" spans="1:24" ht="15" thickBot="1" x14ac:dyDescent="0.4">
      <c r="A66" s="30" t="s">
        <v>29</v>
      </c>
      <c r="B66" s="41" t="s">
        <v>140</v>
      </c>
      <c r="C66" s="8" t="s">
        <v>13</v>
      </c>
      <c r="D66" s="8"/>
      <c r="E66" s="8"/>
      <c r="F66" s="8"/>
      <c r="G66" s="8"/>
      <c r="H66" s="8"/>
      <c r="I66" s="8"/>
      <c r="J66" s="8"/>
      <c r="K66" s="49">
        <v>125000</v>
      </c>
      <c r="L66" s="8"/>
      <c r="M66" s="8"/>
      <c r="N66" s="8"/>
      <c r="O66" s="8"/>
      <c r="P66" s="8"/>
      <c r="Q66" s="8"/>
      <c r="R66" s="8"/>
      <c r="S66" s="83">
        <f>(Table1438[[#This Row],[Commercial Bid Price per case for NOI ($)]]-Table1438[[#This Row],[Pass-Thru Value per case ($)]])+Table1438[[#This Row],[Region 1: Fixed Fee Per Case ($)]]</f>
        <v>0</v>
      </c>
      <c r="T66" s="78" t="e">
        <f>(Table1438[[#This Row],[Commercial Bid Price per case for NOI ($)]]+Table1438[[#This Row],[Region 1: Fixed Fee Per Case ($)]])/Table1438[[#This Row],['# of CN Servings per case]]</f>
        <v>#DIV/0!</v>
      </c>
      <c r="U66" s="78" t="e">
        <f>Table1438[[#This Row],[Total Cost Per Serving (O+P)/J]]*Table1438[[#This Row],[Estimated Servings Annual]]</f>
        <v>#DIV/0!</v>
      </c>
      <c r="V66" s="83">
        <f>(Table1438[[#This Row],[Commercial Bid Price per case for NOI ($)]]-Table1438[[#This Row],[Pass-Thru Value per case ($)]])+Table1438[[#This Row],[Region 2: Fixed Fee Per Case ($)]]</f>
        <v>0</v>
      </c>
      <c r="W66" s="78" t="e">
        <f>(Table1438[[#This Row],[Commercial Bid Price per case for NOI ($)]]+Table1438[[#This Row],[Region 2: Fixed Fee Per Case ($)]])/Table1438[[#This Row],['# of CN Servings per case]]</f>
        <v>#DIV/0!</v>
      </c>
      <c r="X66" s="84" t="e">
        <f>Table1438[[#This Row],[Total Cost Per Serving (O+Q)/J]]*Table1438[[#This Row],[Estimated Servings Annual]]</f>
        <v>#DIV/0!</v>
      </c>
    </row>
    <row r="67" spans="1:24" x14ac:dyDescent="0.35">
      <c r="A67" s="30" t="s">
        <v>29</v>
      </c>
      <c r="B67" s="42" t="s">
        <v>141</v>
      </c>
      <c r="C67" s="6" t="s">
        <v>28</v>
      </c>
      <c r="D67" s="6"/>
      <c r="E67" s="6"/>
      <c r="F67" s="6"/>
      <c r="G67" s="6"/>
      <c r="H67" s="6"/>
      <c r="I67" s="6"/>
      <c r="J67" s="6"/>
      <c r="K67" s="48">
        <v>750000</v>
      </c>
      <c r="L67" s="6"/>
      <c r="M67" s="6"/>
      <c r="N67" s="6"/>
      <c r="O67" s="6"/>
      <c r="P67" s="6"/>
      <c r="Q67" s="6"/>
      <c r="R67" s="6"/>
      <c r="S67" s="79">
        <f>(Table1438[[#This Row],[Commercial Bid Price per case for NOI ($)]]-Table1438[[#This Row],[Pass-Thru Value per case ($)]])+Table1438[[#This Row],[Region 1: Fixed Fee Per Case ($)]]</f>
        <v>0</v>
      </c>
      <c r="T67" s="76" t="e">
        <f>(Table1438[[#This Row],[Commercial Bid Price per case for NOI ($)]]+Table1438[[#This Row],[Region 1: Fixed Fee Per Case ($)]])/Table1438[[#This Row],['# of CN Servings per case]]</f>
        <v>#DIV/0!</v>
      </c>
      <c r="U67" s="76" t="e">
        <f>Table1438[[#This Row],[Total Cost Per Serving (O+P)/J]]*Table1438[[#This Row],[Estimated Servings Annual]]</f>
        <v>#DIV/0!</v>
      </c>
      <c r="V67" s="79">
        <f>(Table1438[[#This Row],[Commercial Bid Price per case for NOI ($)]]-Table1438[[#This Row],[Pass-Thru Value per case ($)]])+Table1438[[#This Row],[Region 2: Fixed Fee Per Case ($)]]</f>
        <v>0</v>
      </c>
      <c r="W67" s="76" t="e">
        <f>(Table1438[[#This Row],[Commercial Bid Price per case for NOI ($)]]+Table1438[[#This Row],[Region 2: Fixed Fee Per Case ($)]])/Table1438[[#This Row],['# of CN Servings per case]]</f>
        <v>#DIV/0!</v>
      </c>
      <c r="X67" s="80" t="e">
        <f>Table1438[[#This Row],[Total Cost Per Serving (O+Q)/J]]*Table1438[[#This Row],[Estimated Servings Annual]]</f>
        <v>#DIV/0!</v>
      </c>
    </row>
    <row r="68" spans="1:24" x14ac:dyDescent="0.35">
      <c r="A68" s="30" t="s">
        <v>29</v>
      </c>
      <c r="B68" s="28" t="s">
        <v>141</v>
      </c>
      <c r="C68" s="7" t="s">
        <v>28</v>
      </c>
      <c r="D68" s="7"/>
      <c r="E68" s="7"/>
      <c r="F68" s="7"/>
      <c r="G68" s="7"/>
      <c r="H68" s="7"/>
      <c r="I68" s="7"/>
      <c r="J68" s="7"/>
      <c r="K68" s="49">
        <v>750000</v>
      </c>
      <c r="L68" s="7"/>
      <c r="M68" s="7"/>
      <c r="N68" s="7"/>
      <c r="O68" s="7"/>
      <c r="P68" s="7"/>
      <c r="Q68" s="7"/>
      <c r="R68" s="7"/>
      <c r="S68" s="81">
        <f>(Table1438[[#This Row],[Commercial Bid Price per case for NOI ($)]]-Table1438[[#This Row],[Pass-Thru Value per case ($)]])+Table1438[[#This Row],[Region 1: Fixed Fee Per Case ($)]]</f>
        <v>0</v>
      </c>
      <c r="T68" s="77" t="e">
        <f>(Table1438[[#This Row],[Commercial Bid Price per case for NOI ($)]]+Table1438[[#This Row],[Region 1: Fixed Fee Per Case ($)]])/Table1438[[#This Row],['# of CN Servings per case]]</f>
        <v>#DIV/0!</v>
      </c>
      <c r="U68" s="77" t="e">
        <f>Table1438[[#This Row],[Total Cost Per Serving (O+P)/J]]*Table1438[[#This Row],[Estimated Servings Annual]]</f>
        <v>#DIV/0!</v>
      </c>
      <c r="V68" s="81">
        <f>(Table1438[[#This Row],[Commercial Bid Price per case for NOI ($)]]-Table1438[[#This Row],[Pass-Thru Value per case ($)]])+Table1438[[#This Row],[Region 2: Fixed Fee Per Case ($)]]</f>
        <v>0</v>
      </c>
      <c r="W68" s="77" t="e">
        <f>(Table1438[[#This Row],[Commercial Bid Price per case for NOI ($)]]+Table1438[[#This Row],[Region 2: Fixed Fee Per Case ($)]])/Table1438[[#This Row],['# of CN Servings per case]]</f>
        <v>#DIV/0!</v>
      </c>
      <c r="X68" s="82" t="e">
        <f>Table1438[[#This Row],[Total Cost Per Serving (O+Q)/J]]*Table1438[[#This Row],[Estimated Servings Annual]]</f>
        <v>#DIV/0!</v>
      </c>
    </row>
    <row r="69" spans="1:24" x14ac:dyDescent="0.35">
      <c r="A69" s="30" t="s">
        <v>29</v>
      </c>
      <c r="B69" s="28" t="s">
        <v>141</v>
      </c>
      <c r="C69" s="7" t="s">
        <v>12</v>
      </c>
      <c r="D69" s="7"/>
      <c r="E69" s="7"/>
      <c r="F69" s="7"/>
      <c r="G69" s="7"/>
      <c r="H69" s="7"/>
      <c r="I69" s="7"/>
      <c r="J69" s="7"/>
      <c r="K69" s="49">
        <v>750000</v>
      </c>
      <c r="L69" s="7"/>
      <c r="M69" s="7"/>
      <c r="N69" s="7"/>
      <c r="O69" s="7"/>
      <c r="P69" s="7"/>
      <c r="Q69" s="7"/>
      <c r="R69" s="7"/>
      <c r="S69" s="81">
        <f>(Table1438[[#This Row],[Commercial Bid Price per case for NOI ($)]]-Table1438[[#This Row],[Pass-Thru Value per case ($)]])+Table1438[[#This Row],[Region 1: Fixed Fee Per Case ($)]]</f>
        <v>0</v>
      </c>
      <c r="T69" s="77" t="e">
        <f>(Table1438[[#This Row],[Commercial Bid Price per case for NOI ($)]]+Table1438[[#This Row],[Region 1: Fixed Fee Per Case ($)]])/Table1438[[#This Row],['# of CN Servings per case]]</f>
        <v>#DIV/0!</v>
      </c>
      <c r="U69" s="77" t="e">
        <f>Table1438[[#This Row],[Total Cost Per Serving (O+P)/J]]*Table1438[[#This Row],[Estimated Servings Annual]]</f>
        <v>#DIV/0!</v>
      </c>
      <c r="V69" s="81">
        <f>(Table1438[[#This Row],[Commercial Bid Price per case for NOI ($)]]-Table1438[[#This Row],[Pass-Thru Value per case ($)]])+Table1438[[#This Row],[Region 2: Fixed Fee Per Case ($)]]</f>
        <v>0</v>
      </c>
      <c r="W69" s="77" t="e">
        <f>(Table1438[[#This Row],[Commercial Bid Price per case for NOI ($)]]+Table1438[[#This Row],[Region 2: Fixed Fee Per Case ($)]])/Table1438[[#This Row],['# of CN Servings per case]]</f>
        <v>#DIV/0!</v>
      </c>
      <c r="X69" s="82" t="e">
        <f>Table1438[[#This Row],[Total Cost Per Serving (O+Q)/J]]*Table1438[[#This Row],[Estimated Servings Annual]]</f>
        <v>#DIV/0!</v>
      </c>
    </row>
    <row r="70" spans="1:24" x14ac:dyDescent="0.35">
      <c r="A70" s="30" t="s">
        <v>29</v>
      </c>
      <c r="B70" s="28" t="s">
        <v>141</v>
      </c>
      <c r="C70" s="7" t="s">
        <v>12</v>
      </c>
      <c r="D70" s="7"/>
      <c r="E70" s="7"/>
      <c r="F70" s="7"/>
      <c r="G70" s="7"/>
      <c r="H70" s="7"/>
      <c r="I70" s="7"/>
      <c r="J70" s="7"/>
      <c r="K70" s="49">
        <v>750000</v>
      </c>
      <c r="L70" s="7"/>
      <c r="M70" s="7"/>
      <c r="N70" s="7"/>
      <c r="O70" s="7"/>
      <c r="P70" s="7"/>
      <c r="Q70" s="7"/>
      <c r="R70" s="7"/>
      <c r="S70" s="81">
        <f>(Table1438[[#This Row],[Commercial Bid Price per case for NOI ($)]]-Table1438[[#This Row],[Pass-Thru Value per case ($)]])+Table1438[[#This Row],[Region 1: Fixed Fee Per Case ($)]]</f>
        <v>0</v>
      </c>
      <c r="T70" s="77" t="e">
        <f>(Table1438[[#This Row],[Commercial Bid Price per case for NOI ($)]]+Table1438[[#This Row],[Region 1: Fixed Fee Per Case ($)]])/Table1438[[#This Row],['# of CN Servings per case]]</f>
        <v>#DIV/0!</v>
      </c>
      <c r="U70" s="77" t="e">
        <f>Table1438[[#This Row],[Total Cost Per Serving (O+P)/J]]*Table1438[[#This Row],[Estimated Servings Annual]]</f>
        <v>#DIV/0!</v>
      </c>
      <c r="V70" s="81">
        <f>(Table1438[[#This Row],[Commercial Bid Price per case for NOI ($)]]-Table1438[[#This Row],[Pass-Thru Value per case ($)]])+Table1438[[#This Row],[Region 2: Fixed Fee Per Case ($)]]</f>
        <v>0</v>
      </c>
      <c r="W70" s="77" t="e">
        <f>(Table1438[[#This Row],[Commercial Bid Price per case for NOI ($)]]+Table1438[[#This Row],[Region 2: Fixed Fee Per Case ($)]])/Table1438[[#This Row],['# of CN Servings per case]]</f>
        <v>#DIV/0!</v>
      </c>
      <c r="X70" s="82" t="e">
        <f>Table1438[[#This Row],[Total Cost Per Serving (O+Q)/J]]*Table1438[[#This Row],[Estimated Servings Annual]]</f>
        <v>#DIV/0!</v>
      </c>
    </row>
    <row r="71" spans="1:24" x14ac:dyDescent="0.35">
      <c r="A71" s="30" t="s">
        <v>29</v>
      </c>
      <c r="B71" s="28" t="s">
        <v>141</v>
      </c>
      <c r="C71" s="7" t="s">
        <v>13</v>
      </c>
      <c r="D71" s="7"/>
      <c r="E71" s="7"/>
      <c r="F71" s="7"/>
      <c r="G71" s="7"/>
      <c r="H71" s="7"/>
      <c r="I71" s="7"/>
      <c r="J71" s="7"/>
      <c r="K71" s="49">
        <v>750000</v>
      </c>
      <c r="L71" s="7"/>
      <c r="M71" s="7"/>
      <c r="N71" s="7"/>
      <c r="O71" s="7"/>
      <c r="P71" s="7"/>
      <c r="Q71" s="7"/>
      <c r="R71" s="7"/>
      <c r="S71" s="81">
        <f>(Table1438[[#This Row],[Commercial Bid Price per case for NOI ($)]]-Table1438[[#This Row],[Pass-Thru Value per case ($)]])+Table1438[[#This Row],[Region 1: Fixed Fee Per Case ($)]]</f>
        <v>0</v>
      </c>
      <c r="T71" s="77" t="e">
        <f>(Table1438[[#This Row],[Commercial Bid Price per case for NOI ($)]]+Table1438[[#This Row],[Region 1: Fixed Fee Per Case ($)]])/Table1438[[#This Row],['# of CN Servings per case]]</f>
        <v>#DIV/0!</v>
      </c>
      <c r="U71" s="77" t="e">
        <f>Table1438[[#This Row],[Total Cost Per Serving (O+P)/J]]*Table1438[[#This Row],[Estimated Servings Annual]]</f>
        <v>#DIV/0!</v>
      </c>
      <c r="V71" s="81">
        <f>(Table1438[[#This Row],[Commercial Bid Price per case for NOI ($)]]-Table1438[[#This Row],[Pass-Thru Value per case ($)]])+Table1438[[#This Row],[Region 2: Fixed Fee Per Case ($)]]</f>
        <v>0</v>
      </c>
      <c r="W71" s="77" t="e">
        <f>(Table1438[[#This Row],[Commercial Bid Price per case for NOI ($)]]+Table1438[[#This Row],[Region 2: Fixed Fee Per Case ($)]])/Table1438[[#This Row],['# of CN Servings per case]]</f>
        <v>#DIV/0!</v>
      </c>
      <c r="X71" s="82" t="e">
        <f>Table1438[[#This Row],[Total Cost Per Serving (O+Q)/J]]*Table1438[[#This Row],[Estimated Servings Annual]]</f>
        <v>#DIV/0!</v>
      </c>
    </row>
    <row r="72" spans="1:24" x14ac:dyDescent="0.35">
      <c r="A72" s="30" t="s">
        <v>29</v>
      </c>
      <c r="B72" s="28" t="s">
        <v>141</v>
      </c>
      <c r="C72" s="7" t="s">
        <v>13</v>
      </c>
      <c r="D72" s="7"/>
      <c r="E72" s="7"/>
      <c r="F72" s="7"/>
      <c r="G72" s="7"/>
      <c r="H72" s="7"/>
      <c r="I72" s="7"/>
      <c r="J72" s="7"/>
      <c r="K72" s="49">
        <v>750000</v>
      </c>
      <c r="L72" s="7"/>
      <c r="M72" s="7"/>
      <c r="N72" s="7"/>
      <c r="O72" s="7"/>
      <c r="P72" s="7"/>
      <c r="Q72" s="7"/>
      <c r="R72" s="7"/>
      <c r="S72" s="81">
        <f>(Table1438[[#This Row],[Commercial Bid Price per case for NOI ($)]]-Table1438[[#This Row],[Pass-Thru Value per case ($)]])+Table1438[[#This Row],[Region 1: Fixed Fee Per Case ($)]]</f>
        <v>0</v>
      </c>
      <c r="T72" s="77" t="e">
        <f>(Table1438[[#This Row],[Commercial Bid Price per case for NOI ($)]]+Table1438[[#This Row],[Region 1: Fixed Fee Per Case ($)]])/Table1438[[#This Row],['# of CN Servings per case]]</f>
        <v>#DIV/0!</v>
      </c>
      <c r="U72" s="77" t="e">
        <f>Table1438[[#This Row],[Total Cost Per Serving (O+P)/J]]*Table1438[[#This Row],[Estimated Servings Annual]]</f>
        <v>#DIV/0!</v>
      </c>
      <c r="V72" s="81">
        <f>(Table1438[[#This Row],[Commercial Bid Price per case for NOI ($)]]-Table1438[[#This Row],[Pass-Thru Value per case ($)]])+Table1438[[#This Row],[Region 2: Fixed Fee Per Case ($)]]</f>
        <v>0</v>
      </c>
      <c r="W72" s="77" t="e">
        <f>(Table1438[[#This Row],[Commercial Bid Price per case for NOI ($)]]+Table1438[[#This Row],[Region 2: Fixed Fee Per Case ($)]])/Table1438[[#This Row],['# of CN Servings per case]]</f>
        <v>#DIV/0!</v>
      </c>
      <c r="X72" s="82" t="e">
        <f>Table1438[[#This Row],[Total Cost Per Serving (O+Q)/J]]*Table1438[[#This Row],[Estimated Servings Annual]]</f>
        <v>#DIV/0!</v>
      </c>
    </row>
    <row r="73" spans="1:24" x14ac:dyDescent="0.35">
      <c r="A73" s="30" t="s">
        <v>29</v>
      </c>
      <c r="B73" s="28" t="s">
        <v>141</v>
      </c>
      <c r="C73" s="7" t="s">
        <v>13</v>
      </c>
      <c r="D73" s="7"/>
      <c r="E73" s="7"/>
      <c r="F73" s="7"/>
      <c r="G73" s="7"/>
      <c r="H73" s="7"/>
      <c r="I73" s="7"/>
      <c r="J73" s="7"/>
      <c r="K73" s="49">
        <v>750000</v>
      </c>
      <c r="L73" s="7"/>
      <c r="M73" s="7"/>
      <c r="N73" s="7"/>
      <c r="O73" s="7"/>
      <c r="P73" s="7"/>
      <c r="Q73" s="7"/>
      <c r="R73" s="7"/>
      <c r="S73" s="81">
        <f>(Table1438[[#This Row],[Commercial Bid Price per case for NOI ($)]]-Table1438[[#This Row],[Pass-Thru Value per case ($)]])+Table1438[[#This Row],[Region 1: Fixed Fee Per Case ($)]]</f>
        <v>0</v>
      </c>
      <c r="T73" s="77" t="e">
        <f>(Table1438[[#This Row],[Commercial Bid Price per case for NOI ($)]]+Table1438[[#This Row],[Region 1: Fixed Fee Per Case ($)]])/Table1438[[#This Row],['# of CN Servings per case]]</f>
        <v>#DIV/0!</v>
      </c>
      <c r="U73" s="77" t="e">
        <f>Table1438[[#This Row],[Total Cost Per Serving (O+P)/J]]*Table1438[[#This Row],[Estimated Servings Annual]]</f>
        <v>#DIV/0!</v>
      </c>
      <c r="V73" s="81">
        <f>(Table1438[[#This Row],[Commercial Bid Price per case for NOI ($)]]-Table1438[[#This Row],[Pass-Thru Value per case ($)]])+Table1438[[#This Row],[Region 2: Fixed Fee Per Case ($)]]</f>
        <v>0</v>
      </c>
      <c r="W73" s="77" t="e">
        <f>(Table1438[[#This Row],[Commercial Bid Price per case for NOI ($)]]+Table1438[[#This Row],[Region 2: Fixed Fee Per Case ($)]])/Table1438[[#This Row],['# of CN Servings per case]]</f>
        <v>#DIV/0!</v>
      </c>
      <c r="X73" s="82" t="e">
        <f>Table1438[[#This Row],[Total Cost Per Serving (O+Q)/J]]*Table1438[[#This Row],[Estimated Servings Annual]]</f>
        <v>#DIV/0!</v>
      </c>
    </row>
    <row r="74" spans="1:24" ht="15" thickBot="1" x14ac:dyDescent="0.4">
      <c r="A74" s="30" t="s">
        <v>29</v>
      </c>
      <c r="B74" s="28" t="s">
        <v>141</v>
      </c>
      <c r="C74" s="8" t="s">
        <v>13</v>
      </c>
      <c r="D74" s="8"/>
      <c r="E74" s="8"/>
      <c r="F74" s="8"/>
      <c r="G74" s="8"/>
      <c r="H74" s="8"/>
      <c r="I74" s="8"/>
      <c r="J74" s="8"/>
      <c r="K74" s="50">
        <v>750000</v>
      </c>
      <c r="L74" s="8"/>
      <c r="M74" s="8"/>
      <c r="N74" s="8"/>
      <c r="O74" s="8"/>
      <c r="P74" s="8"/>
      <c r="Q74" s="8"/>
      <c r="R74" s="8"/>
      <c r="S74" s="83">
        <f>(Table1438[[#This Row],[Commercial Bid Price per case for NOI ($)]]-Table1438[[#This Row],[Pass-Thru Value per case ($)]])+Table1438[[#This Row],[Region 1: Fixed Fee Per Case ($)]]</f>
        <v>0</v>
      </c>
      <c r="T74" s="78" t="e">
        <f>(Table1438[[#This Row],[Commercial Bid Price per case for NOI ($)]]+Table1438[[#This Row],[Region 1: Fixed Fee Per Case ($)]])/Table1438[[#This Row],['# of CN Servings per case]]</f>
        <v>#DIV/0!</v>
      </c>
      <c r="U74" s="78" t="e">
        <f>Table1438[[#This Row],[Total Cost Per Serving (O+P)/J]]*Table1438[[#This Row],[Estimated Servings Annual]]</f>
        <v>#DIV/0!</v>
      </c>
      <c r="V74" s="83">
        <f>(Table1438[[#This Row],[Commercial Bid Price per case for NOI ($)]]-Table1438[[#This Row],[Pass-Thru Value per case ($)]])+Table1438[[#This Row],[Region 2: Fixed Fee Per Case ($)]]</f>
        <v>0</v>
      </c>
      <c r="W74" s="78" t="e">
        <f>(Table1438[[#This Row],[Commercial Bid Price per case for NOI ($)]]+Table1438[[#This Row],[Region 2: Fixed Fee Per Case ($)]])/Table1438[[#This Row],['# of CN Servings per case]]</f>
        <v>#DIV/0!</v>
      </c>
      <c r="X74" s="84" t="e">
        <f>Table1438[[#This Row],[Total Cost Per Serving (O+Q)/J]]*Table1438[[#This Row],[Estimated Servings Annual]]</f>
        <v>#DIV/0!</v>
      </c>
    </row>
    <row r="75" spans="1:24" x14ac:dyDescent="0.35">
      <c r="A75" s="30" t="s">
        <v>29</v>
      </c>
      <c r="B75" s="42" t="s">
        <v>142</v>
      </c>
      <c r="C75" s="6" t="s">
        <v>28</v>
      </c>
      <c r="D75" s="6"/>
      <c r="E75" s="6"/>
      <c r="F75" s="6"/>
      <c r="G75" s="6"/>
      <c r="H75" s="6"/>
      <c r="I75" s="6"/>
      <c r="J75" s="6"/>
      <c r="K75" s="48">
        <v>300000</v>
      </c>
      <c r="L75" s="6"/>
      <c r="M75" s="6"/>
      <c r="N75" s="6"/>
      <c r="O75" s="6"/>
      <c r="P75" s="6"/>
      <c r="Q75" s="6"/>
      <c r="R75" s="6"/>
      <c r="S75" s="79">
        <f>(Table1438[[#This Row],[Commercial Bid Price per case for NOI ($)]]-Table1438[[#This Row],[Pass-Thru Value per case ($)]])+Table1438[[#This Row],[Region 1: Fixed Fee Per Case ($)]]</f>
        <v>0</v>
      </c>
      <c r="T75" s="76" t="e">
        <f>(Table1438[[#This Row],[Commercial Bid Price per case for NOI ($)]]+Table1438[[#This Row],[Region 1: Fixed Fee Per Case ($)]])/Table1438[[#This Row],['# of CN Servings per case]]</f>
        <v>#DIV/0!</v>
      </c>
      <c r="U75" s="76" t="e">
        <f>Table1438[[#This Row],[Total Cost Per Serving (O+P)/J]]*Table1438[[#This Row],[Estimated Servings Annual]]</f>
        <v>#DIV/0!</v>
      </c>
      <c r="V75" s="79">
        <f>(Table1438[[#This Row],[Commercial Bid Price per case for NOI ($)]]-Table1438[[#This Row],[Pass-Thru Value per case ($)]])+Table1438[[#This Row],[Region 2: Fixed Fee Per Case ($)]]</f>
        <v>0</v>
      </c>
      <c r="W75" s="76" t="e">
        <f>(Table1438[[#This Row],[Commercial Bid Price per case for NOI ($)]]+Table1438[[#This Row],[Region 2: Fixed Fee Per Case ($)]])/Table1438[[#This Row],['# of CN Servings per case]]</f>
        <v>#DIV/0!</v>
      </c>
      <c r="X75" s="80" t="e">
        <f>Table1438[[#This Row],[Total Cost Per Serving (O+Q)/J]]*Table1438[[#This Row],[Estimated Servings Annual]]</f>
        <v>#DIV/0!</v>
      </c>
    </row>
    <row r="76" spans="1:24" x14ac:dyDescent="0.35">
      <c r="A76" s="30" t="s">
        <v>29</v>
      </c>
      <c r="B76" s="46" t="s">
        <v>142</v>
      </c>
      <c r="C76" s="7" t="s">
        <v>28</v>
      </c>
      <c r="D76" s="7"/>
      <c r="E76" s="7"/>
      <c r="F76" s="7"/>
      <c r="G76" s="7"/>
      <c r="H76" s="7"/>
      <c r="I76" s="7"/>
      <c r="J76" s="7"/>
      <c r="K76" s="49">
        <v>300000</v>
      </c>
      <c r="L76" s="7"/>
      <c r="M76" s="7"/>
      <c r="N76" s="7"/>
      <c r="O76" s="7"/>
      <c r="P76" s="7"/>
      <c r="Q76" s="7"/>
      <c r="R76" s="7"/>
      <c r="S76" s="81">
        <f>(Table1438[[#This Row],[Commercial Bid Price per case for NOI ($)]]-Table1438[[#This Row],[Pass-Thru Value per case ($)]])+Table1438[[#This Row],[Region 1: Fixed Fee Per Case ($)]]</f>
        <v>0</v>
      </c>
      <c r="T76" s="77" t="e">
        <f>(Table1438[[#This Row],[Commercial Bid Price per case for NOI ($)]]+Table1438[[#This Row],[Region 1: Fixed Fee Per Case ($)]])/Table1438[[#This Row],['# of CN Servings per case]]</f>
        <v>#DIV/0!</v>
      </c>
      <c r="U76" s="77" t="e">
        <f>Table1438[[#This Row],[Total Cost Per Serving (O+P)/J]]*Table1438[[#This Row],[Estimated Servings Annual]]</f>
        <v>#DIV/0!</v>
      </c>
      <c r="V76" s="81">
        <f>(Table1438[[#This Row],[Commercial Bid Price per case for NOI ($)]]-Table1438[[#This Row],[Pass-Thru Value per case ($)]])+Table1438[[#This Row],[Region 2: Fixed Fee Per Case ($)]]</f>
        <v>0</v>
      </c>
      <c r="W76" s="77" t="e">
        <f>(Table1438[[#This Row],[Commercial Bid Price per case for NOI ($)]]+Table1438[[#This Row],[Region 2: Fixed Fee Per Case ($)]])/Table1438[[#This Row],['# of CN Servings per case]]</f>
        <v>#DIV/0!</v>
      </c>
      <c r="X76" s="82" t="e">
        <f>Table1438[[#This Row],[Total Cost Per Serving (O+Q)/J]]*Table1438[[#This Row],[Estimated Servings Annual]]</f>
        <v>#DIV/0!</v>
      </c>
    </row>
    <row r="77" spans="1:24" x14ac:dyDescent="0.35">
      <c r="A77" s="30" t="s">
        <v>29</v>
      </c>
      <c r="B77" s="46" t="s">
        <v>142</v>
      </c>
      <c r="C77" s="7" t="s">
        <v>12</v>
      </c>
      <c r="D77" s="7"/>
      <c r="E77" s="7"/>
      <c r="F77" s="7"/>
      <c r="G77" s="7"/>
      <c r="H77" s="7"/>
      <c r="I77" s="7"/>
      <c r="J77" s="7"/>
      <c r="K77" s="49">
        <v>300000</v>
      </c>
      <c r="L77" s="7"/>
      <c r="M77" s="7"/>
      <c r="N77" s="7"/>
      <c r="O77" s="7"/>
      <c r="P77" s="7"/>
      <c r="Q77" s="7"/>
      <c r="R77" s="7"/>
      <c r="S77" s="81">
        <f>(Table1438[[#This Row],[Commercial Bid Price per case for NOI ($)]]-Table1438[[#This Row],[Pass-Thru Value per case ($)]])+Table1438[[#This Row],[Region 1: Fixed Fee Per Case ($)]]</f>
        <v>0</v>
      </c>
      <c r="T77" s="77" t="e">
        <f>(Table1438[[#This Row],[Commercial Bid Price per case for NOI ($)]]+Table1438[[#This Row],[Region 1: Fixed Fee Per Case ($)]])/Table1438[[#This Row],['# of CN Servings per case]]</f>
        <v>#DIV/0!</v>
      </c>
      <c r="U77" s="77" t="e">
        <f>Table1438[[#This Row],[Total Cost Per Serving (O+P)/J]]*Table1438[[#This Row],[Estimated Servings Annual]]</f>
        <v>#DIV/0!</v>
      </c>
      <c r="V77" s="81">
        <f>(Table1438[[#This Row],[Commercial Bid Price per case for NOI ($)]]-Table1438[[#This Row],[Pass-Thru Value per case ($)]])+Table1438[[#This Row],[Region 2: Fixed Fee Per Case ($)]]</f>
        <v>0</v>
      </c>
      <c r="W77" s="77" t="e">
        <f>(Table1438[[#This Row],[Commercial Bid Price per case for NOI ($)]]+Table1438[[#This Row],[Region 2: Fixed Fee Per Case ($)]])/Table1438[[#This Row],['# of CN Servings per case]]</f>
        <v>#DIV/0!</v>
      </c>
      <c r="X77" s="82" t="e">
        <f>Table1438[[#This Row],[Total Cost Per Serving (O+Q)/J]]*Table1438[[#This Row],[Estimated Servings Annual]]</f>
        <v>#DIV/0!</v>
      </c>
    </row>
    <row r="78" spans="1:24" x14ac:dyDescent="0.35">
      <c r="A78" s="30" t="s">
        <v>29</v>
      </c>
      <c r="B78" s="46" t="s">
        <v>142</v>
      </c>
      <c r="C78" s="7" t="s">
        <v>12</v>
      </c>
      <c r="D78" s="7"/>
      <c r="E78" s="7"/>
      <c r="F78" s="7"/>
      <c r="G78" s="7"/>
      <c r="H78" s="7"/>
      <c r="I78" s="7"/>
      <c r="J78" s="7"/>
      <c r="K78" s="49">
        <v>300000</v>
      </c>
      <c r="L78" s="7"/>
      <c r="M78" s="7"/>
      <c r="N78" s="7"/>
      <c r="O78" s="7"/>
      <c r="P78" s="7"/>
      <c r="Q78" s="7"/>
      <c r="R78" s="7"/>
      <c r="S78" s="81">
        <f>(Table1438[[#This Row],[Commercial Bid Price per case for NOI ($)]]-Table1438[[#This Row],[Pass-Thru Value per case ($)]])+Table1438[[#This Row],[Region 1: Fixed Fee Per Case ($)]]</f>
        <v>0</v>
      </c>
      <c r="T78" s="77" t="e">
        <f>(Table1438[[#This Row],[Commercial Bid Price per case for NOI ($)]]+Table1438[[#This Row],[Region 1: Fixed Fee Per Case ($)]])/Table1438[[#This Row],['# of CN Servings per case]]</f>
        <v>#DIV/0!</v>
      </c>
      <c r="U78" s="77" t="e">
        <f>Table1438[[#This Row],[Total Cost Per Serving (O+P)/J]]*Table1438[[#This Row],[Estimated Servings Annual]]</f>
        <v>#DIV/0!</v>
      </c>
      <c r="V78" s="81">
        <f>(Table1438[[#This Row],[Commercial Bid Price per case for NOI ($)]]-Table1438[[#This Row],[Pass-Thru Value per case ($)]])+Table1438[[#This Row],[Region 2: Fixed Fee Per Case ($)]]</f>
        <v>0</v>
      </c>
      <c r="W78" s="77" t="e">
        <f>(Table1438[[#This Row],[Commercial Bid Price per case for NOI ($)]]+Table1438[[#This Row],[Region 2: Fixed Fee Per Case ($)]])/Table1438[[#This Row],['# of CN Servings per case]]</f>
        <v>#DIV/0!</v>
      </c>
      <c r="X78" s="82" t="e">
        <f>Table1438[[#This Row],[Total Cost Per Serving (O+Q)/J]]*Table1438[[#This Row],[Estimated Servings Annual]]</f>
        <v>#DIV/0!</v>
      </c>
    </row>
    <row r="79" spans="1:24" x14ac:dyDescent="0.35">
      <c r="A79" s="30" t="s">
        <v>29</v>
      </c>
      <c r="B79" s="46" t="s">
        <v>142</v>
      </c>
      <c r="C79" s="7" t="s">
        <v>13</v>
      </c>
      <c r="D79" s="7"/>
      <c r="E79" s="7"/>
      <c r="F79" s="7"/>
      <c r="G79" s="7"/>
      <c r="H79" s="7"/>
      <c r="I79" s="7"/>
      <c r="J79" s="7"/>
      <c r="K79" s="49">
        <v>300000</v>
      </c>
      <c r="L79" s="7"/>
      <c r="M79" s="7"/>
      <c r="N79" s="7"/>
      <c r="O79" s="7"/>
      <c r="P79" s="7"/>
      <c r="Q79" s="7"/>
      <c r="R79" s="7"/>
      <c r="S79" s="81">
        <f>(Table1438[[#This Row],[Commercial Bid Price per case for NOI ($)]]-Table1438[[#This Row],[Pass-Thru Value per case ($)]])+Table1438[[#This Row],[Region 1: Fixed Fee Per Case ($)]]</f>
        <v>0</v>
      </c>
      <c r="T79" s="77" t="e">
        <f>(Table1438[[#This Row],[Commercial Bid Price per case for NOI ($)]]+Table1438[[#This Row],[Region 1: Fixed Fee Per Case ($)]])/Table1438[[#This Row],['# of CN Servings per case]]</f>
        <v>#DIV/0!</v>
      </c>
      <c r="U79" s="77" t="e">
        <f>Table1438[[#This Row],[Total Cost Per Serving (O+P)/J]]*Table1438[[#This Row],[Estimated Servings Annual]]</f>
        <v>#DIV/0!</v>
      </c>
      <c r="V79" s="81">
        <f>(Table1438[[#This Row],[Commercial Bid Price per case for NOI ($)]]-Table1438[[#This Row],[Pass-Thru Value per case ($)]])+Table1438[[#This Row],[Region 2: Fixed Fee Per Case ($)]]</f>
        <v>0</v>
      </c>
      <c r="W79" s="77" t="e">
        <f>(Table1438[[#This Row],[Commercial Bid Price per case for NOI ($)]]+Table1438[[#This Row],[Region 2: Fixed Fee Per Case ($)]])/Table1438[[#This Row],['# of CN Servings per case]]</f>
        <v>#DIV/0!</v>
      </c>
      <c r="X79" s="82" t="e">
        <f>Table1438[[#This Row],[Total Cost Per Serving (O+Q)/J]]*Table1438[[#This Row],[Estimated Servings Annual]]</f>
        <v>#DIV/0!</v>
      </c>
    </row>
    <row r="80" spans="1:24" x14ac:dyDescent="0.35">
      <c r="A80" s="30" t="s">
        <v>29</v>
      </c>
      <c r="B80" s="46" t="s">
        <v>142</v>
      </c>
      <c r="C80" s="7" t="s">
        <v>13</v>
      </c>
      <c r="D80" s="7"/>
      <c r="E80" s="7"/>
      <c r="F80" s="7"/>
      <c r="G80" s="7"/>
      <c r="H80" s="7"/>
      <c r="I80" s="7"/>
      <c r="J80" s="7"/>
      <c r="K80" s="49">
        <v>300000</v>
      </c>
      <c r="L80" s="7"/>
      <c r="M80" s="7"/>
      <c r="N80" s="7"/>
      <c r="O80" s="7"/>
      <c r="P80" s="7"/>
      <c r="Q80" s="7"/>
      <c r="R80" s="7"/>
      <c r="S80" s="81">
        <f>(Table1438[[#This Row],[Commercial Bid Price per case for NOI ($)]]-Table1438[[#This Row],[Pass-Thru Value per case ($)]])+Table1438[[#This Row],[Region 1: Fixed Fee Per Case ($)]]</f>
        <v>0</v>
      </c>
      <c r="T80" s="77" t="e">
        <f>(Table1438[[#This Row],[Commercial Bid Price per case for NOI ($)]]+Table1438[[#This Row],[Region 1: Fixed Fee Per Case ($)]])/Table1438[[#This Row],['# of CN Servings per case]]</f>
        <v>#DIV/0!</v>
      </c>
      <c r="U80" s="77" t="e">
        <f>Table1438[[#This Row],[Total Cost Per Serving (O+P)/J]]*Table1438[[#This Row],[Estimated Servings Annual]]</f>
        <v>#DIV/0!</v>
      </c>
      <c r="V80" s="81">
        <f>(Table1438[[#This Row],[Commercial Bid Price per case for NOI ($)]]-Table1438[[#This Row],[Pass-Thru Value per case ($)]])+Table1438[[#This Row],[Region 2: Fixed Fee Per Case ($)]]</f>
        <v>0</v>
      </c>
      <c r="W80" s="77" t="e">
        <f>(Table1438[[#This Row],[Commercial Bid Price per case for NOI ($)]]+Table1438[[#This Row],[Region 2: Fixed Fee Per Case ($)]])/Table1438[[#This Row],['# of CN Servings per case]]</f>
        <v>#DIV/0!</v>
      </c>
      <c r="X80" s="82" t="e">
        <f>Table1438[[#This Row],[Total Cost Per Serving (O+Q)/J]]*Table1438[[#This Row],[Estimated Servings Annual]]</f>
        <v>#DIV/0!</v>
      </c>
    </row>
    <row r="81" spans="1:24" x14ac:dyDescent="0.35">
      <c r="A81" s="30" t="s">
        <v>29</v>
      </c>
      <c r="B81" s="46" t="s">
        <v>142</v>
      </c>
      <c r="C81" s="7" t="s">
        <v>13</v>
      </c>
      <c r="D81" s="7"/>
      <c r="E81" s="7"/>
      <c r="F81" s="7"/>
      <c r="G81" s="7"/>
      <c r="H81" s="7"/>
      <c r="I81" s="7"/>
      <c r="J81" s="7"/>
      <c r="K81" s="49">
        <v>300000</v>
      </c>
      <c r="L81" s="7"/>
      <c r="M81" s="7"/>
      <c r="N81" s="7"/>
      <c r="O81" s="7"/>
      <c r="P81" s="7"/>
      <c r="Q81" s="7"/>
      <c r="R81" s="7"/>
      <c r="S81" s="81">
        <f>(Table1438[[#This Row],[Commercial Bid Price per case for NOI ($)]]-Table1438[[#This Row],[Pass-Thru Value per case ($)]])+Table1438[[#This Row],[Region 1: Fixed Fee Per Case ($)]]</f>
        <v>0</v>
      </c>
      <c r="T81" s="77" t="e">
        <f>(Table1438[[#This Row],[Commercial Bid Price per case for NOI ($)]]+Table1438[[#This Row],[Region 1: Fixed Fee Per Case ($)]])/Table1438[[#This Row],['# of CN Servings per case]]</f>
        <v>#DIV/0!</v>
      </c>
      <c r="U81" s="77" t="e">
        <f>Table1438[[#This Row],[Total Cost Per Serving (O+P)/J]]*Table1438[[#This Row],[Estimated Servings Annual]]</f>
        <v>#DIV/0!</v>
      </c>
      <c r="V81" s="81">
        <f>(Table1438[[#This Row],[Commercial Bid Price per case for NOI ($)]]-Table1438[[#This Row],[Pass-Thru Value per case ($)]])+Table1438[[#This Row],[Region 2: Fixed Fee Per Case ($)]]</f>
        <v>0</v>
      </c>
      <c r="W81" s="77" t="e">
        <f>(Table1438[[#This Row],[Commercial Bid Price per case for NOI ($)]]+Table1438[[#This Row],[Region 2: Fixed Fee Per Case ($)]])/Table1438[[#This Row],['# of CN Servings per case]]</f>
        <v>#DIV/0!</v>
      </c>
      <c r="X81" s="82" t="e">
        <f>Table1438[[#This Row],[Total Cost Per Serving (O+Q)/J]]*Table1438[[#This Row],[Estimated Servings Annual]]</f>
        <v>#DIV/0!</v>
      </c>
    </row>
    <row r="82" spans="1:24" ht="15" thickBot="1" x14ac:dyDescent="0.4">
      <c r="A82" s="30" t="s">
        <v>29</v>
      </c>
      <c r="B82" s="47" t="s">
        <v>142</v>
      </c>
      <c r="C82" s="8" t="s">
        <v>13</v>
      </c>
      <c r="D82" s="8"/>
      <c r="E82" s="8"/>
      <c r="F82" s="8"/>
      <c r="G82" s="8"/>
      <c r="H82" s="8"/>
      <c r="I82" s="8"/>
      <c r="J82" s="8"/>
      <c r="K82" s="50">
        <v>300000</v>
      </c>
      <c r="L82" s="8"/>
      <c r="M82" s="8"/>
      <c r="N82" s="8"/>
      <c r="O82" s="8"/>
      <c r="P82" s="8"/>
      <c r="Q82" s="8"/>
      <c r="R82" s="8"/>
      <c r="S82" s="83">
        <f>(Table1438[[#This Row],[Commercial Bid Price per case for NOI ($)]]-Table1438[[#This Row],[Pass-Thru Value per case ($)]])+Table1438[[#This Row],[Region 1: Fixed Fee Per Case ($)]]</f>
        <v>0</v>
      </c>
      <c r="T82" s="78" t="e">
        <f>(Table1438[[#This Row],[Commercial Bid Price per case for NOI ($)]]+Table1438[[#This Row],[Region 1: Fixed Fee Per Case ($)]])/Table1438[[#This Row],['# of CN Servings per case]]</f>
        <v>#DIV/0!</v>
      </c>
      <c r="U82" s="78" t="e">
        <f>Table1438[[#This Row],[Total Cost Per Serving (O+P)/J]]*Table1438[[#This Row],[Estimated Servings Annual]]</f>
        <v>#DIV/0!</v>
      </c>
      <c r="V82" s="83">
        <f>(Table1438[[#This Row],[Commercial Bid Price per case for NOI ($)]]-Table1438[[#This Row],[Pass-Thru Value per case ($)]])+Table1438[[#This Row],[Region 2: Fixed Fee Per Case ($)]]</f>
        <v>0</v>
      </c>
      <c r="W82" s="78" t="e">
        <f>(Table1438[[#This Row],[Commercial Bid Price per case for NOI ($)]]+Table1438[[#This Row],[Region 2: Fixed Fee Per Case ($)]])/Table1438[[#This Row],['# of CN Servings per case]]</f>
        <v>#DIV/0!</v>
      </c>
      <c r="X82" s="84" t="e">
        <f>Table1438[[#This Row],[Total Cost Per Serving (O+Q)/J]]*Table1438[[#This Row],[Estimated Servings Annual]]</f>
        <v>#DIV/0!</v>
      </c>
    </row>
    <row r="83" spans="1:24" x14ac:dyDescent="0.35">
      <c r="A83" s="30" t="s">
        <v>29</v>
      </c>
      <c r="B83" s="46" t="s">
        <v>143</v>
      </c>
      <c r="C83" s="6" t="s">
        <v>28</v>
      </c>
      <c r="D83" s="38"/>
      <c r="E83" s="38"/>
      <c r="F83" s="38"/>
      <c r="G83" s="38"/>
      <c r="H83" s="38"/>
      <c r="I83" s="38"/>
      <c r="J83" s="38"/>
      <c r="K83" s="51">
        <v>300000</v>
      </c>
      <c r="L83" s="38"/>
      <c r="M83" s="38"/>
      <c r="N83" s="38"/>
      <c r="O83" s="38"/>
      <c r="P83" s="38"/>
      <c r="Q83" s="38"/>
      <c r="R83" s="38"/>
      <c r="S83" s="88">
        <f>(Table1438[[#This Row],[Commercial Bid Price per case for NOI ($)]]-Table1438[[#This Row],[Pass-Thru Value per case ($)]])+Table1438[[#This Row],[Region 1: Fixed Fee Per Case ($)]]</f>
        <v>0</v>
      </c>
      <c r="T83" s="89" t="e">
        <f>(Table1438[[#This Row],[Commercial Bid Price per case for NOI ($)]]+Table1438[[#This Row],[Region 1: Fixed Fee Per Case ($)]])/Table1438[[#This Row],['# of CN Servings per case]]</f>
        <v>#DIV/0!</v>
      </c>
      <c r="U83" s="89" t="e">
        <f>Table1438[[#This Row],[Total Cost Per Serving (O+P)/J]]*Table1438[[#This Row],[Estimated Servings Annual]]</f>
        <v>#DIV/0!</v>
      </c>
      <c r="V83" s="88">
        <f>(Table1438[[#This Row],[Commercial Bid Price per case for NOI ($)]]-Table1438[[#This Row],[Pass-Thru Value per case ($)]])+Table1438[[#This Row],[Region 2: Fixed Fee Per Case ($)]]</f>
        <v>0</v>
      </c>
      <c r="W83" s="89" t="e">
        <f>(Table1438[[#This Row],[Commercial Bid Price per case for NOI ($)]]+Table1438[[#This Row],[Region 2: Fixed Fee Per Case ($)]])/Table1438[[#This Row],['# of CN Servings per case]]</f>
        <v>#DIV/0!</v>
      </c>
      <c r="X83" s="89" t="e">
        <f>Table1438[[#This Row],[Total Cost Per Serving (O+Q)/J]]*Table1438[[#This Row],[Estimated Servings Annual]]</f>
        <v>#DIV/0!</v>
      </c>
    </row>
    <row r="84" spans="1:24" x14ac:dyDescent="0.35">
      <c r="A84" s="30" t="s">
        <v>29</v>
      </c>
      <c r="B84" s="28" t="s">
        <v>143</v>
      </c>
      <c r="C84" s="7" t="s">
        <v>28</v>
      </c>
      <c r="D84" s="7"/>
      <c r="E84" s="7"/>
      <c r="F84" s="7"/>
      <c r="G84" s="7"/>
      <c r="H84" s="7"/>
      <c r="I84" s="7"/>
      <c r="J84" s="7"/>
      <c r="K84" s="51">
        <v>300000</v>
      </c>
      <c r="L84" s="7"/>
      <c r="M84" s="7"/>
      <c r="N84" s="7"/>
      <c r="O84" s="7"/>
      <c r="P84" s="7"/>
      <c r="Q84" s="7"/>
      <c r="R84" s="7"/>
      <c r="S84" s="81">
        <f>(Table1438[[#This Row],[Commercial Bid Price per case for NOI ($)]]-Table1438[[#This Row],[Pass-Thru Value per case ($)]])+Table1438[[#This Row],[Region 1: Fixed Fee Per Case ($)]]</f>
        <v>0</v>
      </c>
      <c r="T84" s="77" t="e">
        <f>(Table1438[[#This Row],[Commercial Bid Price per case for NOI ($)]]+Table1438[[#This Row],[Region 1: Fixed Fee Per Case ($)]])/Table1438[[#This Row],['# of CN Servings per case]]</f>
        <v>#DIV/0!</v>
      </c>
      <c r="U84" s="77" t="e">
        <f>Table1438[[#This Row],[Total Cost Per Serving (O+P)/J]]*Table1438[[#This Row],[Estimated Servings Annual]]</f>
        <v>#DIV/0!</v>
      </c>
      <c r="V84" s="81">
        <f>(Table1438[[#This Row],[Commercial Bid Price per case for NOI ($)]]-Table1438[[#This Row],[Pass-Thru Value per case ($)]])+Table1438[[#This Row],[Region 2: Fixed Fee Per Case ($)]]</f>
        <v>0</v>
      </c>
      <c r="W84" s="77" t="e">
        <f>(Table1438[[#This Row],[Commercial Bid Price per case for NOI ($)]]+Table1438[[#This Row],[Region 2: Fixed Fee Per Case ($)]])/Table1438[[#This Row],['# of CN Servings per case]]</f>
        <v>#DIV/0!</v>
      </c>
      <c r="X84" s="77" t="e">
        <f>Table1438[[#This Row],[Total Cost Per Serving (O+Q)/J]]*Table1438[[#This Row],[Estimated Servings Annual]]</f>
        <v>#DIV/0!</v>
      </c>
    </row>
    <row r="85" spans="1:24" x14ac:dyDescent="0.35">
      <c r="A85" s="30" t="s">
        <v>29</v>
      </c>
      <c r="B85" s="28" t="s">
        <v>143</v>
      </c>
      <c r="C85" s="7" t="s">
        <v>12</v>
      </c>
      <c r="D85" s="7"/>
      <c r="E85" s="7"/>
      <c r="F85" s="7"/>
      <c r="G85" s="7"/>
      <c r="H85" s="7"/>
      <c r="I85" s="7"/>
      <c r="J85" s="7"/>
      <c r="K85" s="51">
        <v>300000</v>
      </c>
      <c r="L85" s="7"/>
      <c r="M85" s="7"/>
      <c r="N85" s="7"/>
      <c r="O85" s="7"/>
      <c r="P85" s="7"/>
      <c r="Q85" s="7"/>
      <c r="R85" s="7"/>
      <c r="S85" s="81">
        <f>(Table1438[[#This Row],[Commercial Bid Price per case for NOI ($)]]-Table1438[[#This Row],[Pass-Thru Value per case ($)]])+Table1438[[#This Row],[Region 1: Fixed Fee Per Case ($)]]</f>
        <v>0</v>
      </c>
      <c r="T85" s="77" t="e">
        <f>(Table1438[[#This Row],[Commercial Bid Price per case for NOI ($)]]+Table1438[[#This Row],[Region 1: Fixed Fee Per Case ($)]])/Table1438[[#This Row],['# of CN Servings per case]]</f>
        <v>#DIV/0!</v>
      </c>
      <c r="U85" s="77" t="e">
        <f>Table1438[[#This Row],[Total Cost Per Serving (O+P)/J]]*Table1438[[#This Row],[Estimated Servings Annual]]</f>
        <v>#DIV/0!</v>
      </c>
      <c r="V85" s="81">
        <f>(Table1438[[#This Row],[Commercial Bid Price per case for NOI ($)]]-Table1438[[#This Row],[Pass-Thru Value per case ($)]])+Table1438[[#This Row],[Region 2: Fixed Fee Per Case ($)]]</f>
        <v>0</v>
      </c>
      <c r="W85" s="77" t="e">
        <f>(Table1438[[#This Row],[Commercial Bid Price per case for NOI ($)]]+Table1438[[#This Row],[Region 2: Fixed Fee Per Case ($)]])/Table1438[[#This Row],['# of CN Servings per case]]</f>
        <v>#DIV/0!</v>
      </c>
      <c r="X85" s="77" t="e">
        <f>Table1438[[#This Row],[Total Cost Per Serving (O+Q)/J]]*Table1438[[#This Row],[Estimated Servings Annual]]</f>
        <v>#DIV/0!</v>
      </c>
    </row>
    <row r="86" spans="1:24" x14ac:dyDescent="0.35">
      <c r="A86" s="30" t="s">
        <v>29</v>
      </c>
      <c r="B86" s="28" t="s">
        <v>143</v>
      </c>
      <c r="C86" s="7" t="s">
        <v>12</v>
      </c>
      <c r="D86" s="7"/>
      <c r="E86" s="7"/>
      <c r="F86" s="7"/>
      <c r="G86" s="7"/>
      <c r="H86" s="7"/>
      <c r="I86" s="7"/>
      <c r="J86" s="7"/>
      <c r="K86" s="51">
        <v>300000</v>
      </c>
      <c r="L86" s="7"/>
      <c r="M86" s="7"/>
      <c r="N86" s="7"/>
      <c r="O86" s="7"/>
      <c r="P86" s="7"/>
      <c r="Q86" s="7"/>
      <c r="R86" s="7"/>
      <c r="S86" s="81">
        <f>(Table1438[[#This Row],[Commercial Bid Price per case for NOI ($)]]-Table1438[[#This Row],[Pass-Thru Value per case ($)]])+Table1438[[#This Row],[Region 1: Fixed Fee Per Case ($)]]</f>
        <v>0</v>
      </c>
      <c r="T86" s="77" t="e">
        <f>(Table1438[[#This Row],[Commercial Bid Price per case for NOI ($)]]+Table1438[[#This Row],[Region 1: Fixed Fee Per Case ($)]])/Table1438[[#This Row],['# of CN Servings per case]]</f>
        <v>#DIV/0!</v>
      </c>
      <c r="U86" s="77" t="e">
        <f>Table1438[[#This Row],[Total Cost Per Serving (O+P)/J]]*Table1438[[#This Row],[Estimated Servings Annual]]</f>
        <v>#DIV/0!</v>
      </c>
      <c r="V86" s="81">
        <f>(Table1438[[#This Row],[Commercial Bid Price per case for NOI ($)]]-Table1438[[#This Row],[Pass-Thru Value per case ($)]])+Table1438[[#This Row],[Region 2: Fixed Fee Per Case ($)]]</f>
        <v>0</v>
      </c>
      <c r="W86" s="77" t="e">
        <f>(Table1438[[#This Row],[Commercial Bid Price per case for NOI ($)]]+Table1438[[#This Row],[Region 2: Fixed Fee Per Case ($)]])/Table1438[[#This Row],['# of CN Servings per case]]</f>
        <v>#DIV/0!</v>
      </c>
      <c r="X86" s="77" t="e">
        <f>Table1438[[#This Row],[Total Cost Per Serving (O+Q)/J]]*Table1438[[#This Row],[Estimated Servings Annual]]</f>
        <v>#DIV/0!</v>
      </c>
    </row>
    <row r="87" spans="1:24" x14ac:dyDescent="0.35">
      <c r="A87" s="30" t="s">
        <v>29</v>
      </c>
      <c r="B87" s="28" t="s">
        <v>143</v>
      </c>
      <c r="C87" s="7" t="s">
        <v>13</v>
      </c>
      <c r="D87" s="7"/>
      <c r="E87" s="7"/>
      <c r="F87" s="7"/>
      <c r="G87" s="7"/>
      <c r="H87" s="7"/>
      <c r="I87" s="7"/>
      <c r="J87" s="7"/>
      <c r="K87" s="51">
        <v>300000</v>
      </c>
      <c r="L87" s="7"/>
      <c r="M87" s="7"/>
      <c r="N87" s="7"/>
      <c r="O87" s="7"/>
      <c r="P87" s="7"/>
      <c r="Q87" s="7"/>
      <c r="R87" s="7"/>
      <c r="S87" s="81">
        <f>(Table1438[[#This Row],[Commercial Bid Price per case for NOI ($)]]-Table1438[[#This Row],[Pass-Thru Value per case ($)]])+Table1438[[#This Row],[Region 1: Fixed Fee Per Case ($)]]</f>
        <v>0</v>
      </c>
      <c r="T87" s="77" t="e">
        <f>(Table1438[[#This Row],[Commercial Bid Price per case for NOI ($)]]+Table1438[[#This Row],[Region 1: Fixed Fee Per Case ($)]])/Table1438[[#This Row],['# of CN Servings per case]]</f>
        <v>#DIV/0!</v>
      </c>
      <c r="U87" s="77" t="e">
        <f>Table1438[[#This Row],[Total Cost Per Serving (O+P)/J]]*Table1438[[#This Row],[Estimated Servings Annual]]</f>
        <v>#DIV/0!</v>
      </c>
      <c r="V87" s="81">
        <f>(Table1438[[#This Row],[Commercial Bid Price per case for NOI ($)]]-Table1438[[#This Row],[Pass-Thru Value per case ($)]])+Table1438[[#This Row],[Region 2: Fixed Fee Per Case ($)]]</f>
        <v>0</v>
      </c>
      <c r="W87" s="77" t="e">
        <f>(Table1438[[#This Row],[Commercial Bid Price per case for NOI ($)]]+Table1438[[#This Row],[Region 2: Fixed Fee Per Case ($)]])/Table1438[[#This Row],['# of CN Servings per case]]</f>
        <v>#DIV/0!</v>
      </c>
      <c r="X87" s="77" t="e">
        <f>Table1438[[#This Row],[Total Cost Per Serving (O+Q)/J]]*Table1438[[#This Row],[Estimated Servings Annual]]</f>
        <v>#DIV/0!</v>
      </c>
    </row>
    <row r="88" spans="1:24" x14ac:dyDescent="0.35">
      <c r="A88" s="30" t="s">
        <v>29</v>
      </c>
      <c r="B88" s="28" t="s">
        <v>143</v>
      </c>
      <c r="C88" s="7" t="s">
        <v>13</v>
      </c>
      <c r="D88" s="7"/>
      <c r="E88" s="7"/>
      <c r="F88" s="7"/>
      <c r="G88" s="7"/>
      <c r="H88" s="7"/>
      <c r="I88" s="7"/>
      <c r="J88" s="7"/>
      <c r="K88" s="51">
        <v>300000</v>
      </c>
      <c r="L88" s="7"/>
      <c r="M88" s="7"/>
      <c r="N88" s="7"/>
      <c r="O88" s="7"/>
      <c r="P88" s="7"/>
      <c r="Q88" s="7"/>
      <c r="R88" s="7"/>
      <c r="S88" s="81">
        <f>(Table1438[[#This Row],[Commercial Bid Price per case for NOI ($)]]-Table1438[[#This Row],[Pass-Thru Value per case ($)]])+Table1438[[#This Row],[Region 1: Fixed Fee Per Case ($)]]</f>
        <v>0</v>
      </c>
      <c r="T88" s="77" t="e">
        <f>(Table1438[[#This Row],[Commercial Bid Price per case for NOI ($)]]+Table1438[[#This Row],[Region 1: Fixed Fee Per Case ($)]])/Table1438[[#This Row],['# of CN Servings per case]]</f>
        <v>#DIV/0!</v>
      </c>
      <c r="U88" s="77" t="e">
        <f>Table1438[[#This Row],[Total Cost Per Serving (O+P)/J]]*Table1438[[#This Row],[Estimated Servings Annual]]</f>
        <v>#DIV/0!</v>
      </c>
      <c r="V88" s="81">
        <f>(Table1438[[#This Row],[Commercial Bid Price per case for NOI ($)]]-Table1438[[#This Row],[Pass-Thru Value per case ($)]])+Table1438[[#This Row],[Region 2: Fixed Fee Per Case ($)]]</f>
        <v>0</v>
      </c>
      <c r="W88" s="77" t="e">
        <f>(Table1438[[#This Row],[Commercial Bid Price per case for NOI ($)]]+Table1438[[#This Row],[Region 2: Fixed Fee Per Case ($)]])/Table1438[[#This Row],['# of CN Servings per case]]</f>
        <v>#DIV/0!</v>
      </c>
      <c r="X88" s="77" t="e">
        <f>Table1438[[#This Row],[Total Cost Per Serving (O+Q)/J]]*Table1438[[#This Row],[Estimated Servings Annual]]</f>
        <v>#DIV/0!</v>
      </c>
    </row>
    <row r="89" spans="1:24" x14ac:dyDescent="0.35">
      <c r="A89" s="30" t="s">
        <v>29</v>
      </c>
      <c r="B89" s="28" t="s">
        <v>143</v>
      </c>
      <c r="C89" s="7" t="s">
        <v>13</v>
      </c>
      <c r="D89" s="7"/>
      <c r="E89" s="7"/>
      <c r="F89" s="7"/>
      <c r="G89" s="7"/>
      <c r="H89" s="7"/>
      <c r="I89" s="7"/>
      <c r="J89" s="7"/>
      <c r="K89" s="51">
        <v>300000</v>
      </c>
      <c r="L89" s="7"/>
      <c r="M89" s="7"/>
      <c r="N89" s="7"/>
      <c r="O89" s="7"/>
      <c r="P89" s="7"/>
      <c r="Q89" s="7"/>
      <c r="R89" s="7"/>
      <c r="S89" s="81">
        <f>(Table1438[[#This Row],[Commercial Bid Price per case for NOI ($)]]-Table1438[[#This Row],[Pass-Thru Value per case ($)]])+Table1438[[#This Row],[Region 1: Fixed Fee Per Case ($)]]</f>
        <v>0</v>
      </c>
      <c r="T89" s="77" t="e">
        <f>(Table1438[[#This Row],[Commercial Bid Price per case for NOI ($)]]+Table1438[[#This Row],[Region 1: Fixed Fee Per Case ($)]])/Table1438[[#This Row],['# of CN Servings per case]]</f>
        <v>#DIV/0!</v>
      </c>
      <c r="U89" s="77" t="e">
        <f>Table1438[[#This Row],[Total Cost Per Serving (O+P)/J]]*Table1438[[#This Row],[Estimated Servings Annual]]</f>
        <v>#DIV/0!</v>
      </c>
      <c r="V89" s="81">
        <f>(Table1438[[#This Row],[Commercial Bid Price per case for NOI ($)]]-Table1438[[#This Row],[Pass-Thru Value per case ($)]])+Table1438[[#This Row],[Region 2: Fixed Fee Per Case ($)]]</f>
        <v>0</v>
      </c>
      <c r="W89" s="77" t="e">
        <f>(Table1438[[#This Row],[Commercial Bid Price per case for NOI ($)]]+Table1438[[#This Row],[Region 2: Fixed Fee Per Case ($)]])/Table1438[[#This Row],['# of CN Servings per case]]</f>
        <v>#DIV/0!</v>
      </c>
      <c r="X89" s="77" t="e">
        <f>Table1438[[#This Row],[Total Cost Per Serving (O+Q)/J]]*Table1438[[#This Row],[Estimated Servings Annual]]</f>
        <v>#DIV/0!</v>
      </c>
    </row>
    <row r="90" spans="1:24" ht="15" thickBot="1" x14ac:dyDescent="0.4">
      <c r="A90" s="30" t="s">
        <v>29</v>
      </c>
      <c r="B90" s="28" t="s">
        <v>143</v>
      </c>
      <c r="C90" s="8" t="s">
        <v>13</v>
      </c>
      <c r="D90" s="27"/>
      <c r="E90" s="27"/>
      <c r="F90" s="27"/>
      <c r="G90" s="27"/>
      <c r="H90" s="27"/>
      <c r="I90" s="27"/>
      <c r="J90" s="27"/>
      <c r="K90" s="57">
        <v>300000</v>
      </c>
      <c r="L90" s="27"/>
      <c r="M90" s="27"/>
      <c r="N90" s="27"/>
      <c r="O90" s="27"/>
      <c r="P90" s="27"/>
      <c r="Q90" s="27"/>
      <c r="R90" s="27"/>
      <c r="S90" s="90">
        <f>(Table1438[[#This Row],[Commercial Bid Price per case for NOI ($)]]-Table1438[[#This Row],[Pass-Thru Value per case ($)]])+Table1438[[#This Row],[Region 1: Fixed Fee Per Case ($)]]</f>
        <v>0</v>
      </c>
      <c r="T90" s="91" t="e">
        <f>(Table1438[[#This Row],[Commercial Bid Price per case for NOI ($)]]+Table1438[[#This Row],[Region 1: Fixed Fee Per Case ($)]])/Table1438[[#This Row],['# of CN Servings per case]]</f>
        <v>#DIV/0!</v>
      </c>
      <c r="U90" s="91" t="e">
        <f>Table1438[[#This Row],[Total Cost Per Serving (O+P)/J]]*Table1438[[#This Row],[Estimated Servings Annual]]</f>
        <v>#DIV/0!</v>
      </c>
      <c r="V90" s="90">
        <f>(Table1438[[#This Row],[Commercial Bid Price per case for NOI ($)]]-Table1438[[#This Row],[Pass-Thru Value per case ($)]])+Table1438[[#This Row],[Region 2: Fixed Fee Per Case ($)]]</f>
        <v>0</v>
      </c>
      <c r="W90" s="91" t="e">
        <f>(Table1438[[#This Row],[Commercial Bid Price per case for NOI ($)]]+Table1438[[#This Row],[Region 2: Fixed Fee Per Case ($)]])/Table1438[[#This Row],['# of CN Servings per case]]</f>
        <v>#DIV/0!</v>
      </c>
      <c r="X90" s="91" t="e">
        <f>Table1438[[#This Row],[Total Cost Per Serving (O+Q)/J]]*Table1438[[#This Row],[Estimated Servings Annual]]</f>
        <v>#DIV/0!</v>
      </c>
    </row>
    <row r="91" spans="1:24" x14ac:dyDescent="0.35">
      <c r="A91" s="30" t="s">
        <v>29</v>
      </c>
      <c r="B91" s="11" t="s">
        <v>144</v>
      </c>
      <c r="C91" s="6" t="s">
        <v>145</v>
      </c>
      <c r="D91" s="6"/>
      <c r="E91" s="6"/>
      <c r="F91" s="6"/>
      <c r="G91" s="6"/>
      <c r="H91" s="6"/>
      <c r="I91" s="6"/>
      <c r="J91" s="6"/>
      <c r="K91" s="48">
        <v>80000</v>
      </c>
      <c r="L91" s="6"/>
      <c r="M91" s="6"/>
      <c r="N91" s="6"/>
      <c r="O91" s="6"/>
      <c r="P91" s="6"/>
      <c r="Q91" s="6"/>
      <c r="R91" s="6"/>
      <c r="S91" s="79">
        <f>(Table1438[[#This Row],[Commercial Bid Price per case for NOI ($)]]-Table1438[[#This Row],[Pass-Thru Value per case ($)]])+Table1438[[#This Row],[Region 1: Fixed Fee Per Case ($)]]</f>
        <v>0</v>
      </c>
      <c r="T91" s="76" t="e">
        <f>(Table1438[[#This Row],[Commercial Bid Price per case for NOI ($)]]+Table1438[[#This Row],[Region 1: Fixed Fee Per Case ($)]])/Table1438[[#This Row],['# of CN Servings per case]]</f>
        <v>#DIV/0!</v>
      </c>
      <c r="U91" s="76" t="e">
        <f>Table1438[[#This Row],[Total Cost Per Serving (O+P)/J]]*Table1438[[#This Row],[Estimated Servings Annual]]</f>
        <v>#DIV/0!</v>
      </c>
      <c r="V91" s="79">
        <f>(Table1438[[#This Row],[Commercial Bid Price per case for NOI ($)]]-Table1438[[#This Row],[Pass-Thru Value per case ($)]])+Table1438[[#This Row],[Region 2: Fixed Fee Per Case ($)]]</f>
        <v>0</v>
      </c>
      <c r="W91" s="76" t="e">
        <f>(Table1438[[#This Row],[Commercial Bid Price per case for NOI ($)]]+Table1438[[#This Row],[Region 2: Fixed Fee Per Case ($)]])/Table1438[[#This Row],['# of CN Servings per case]]</f>
        <v>#DIV/0!</v>
      </c>
      <c r="X91" s="80" t="e">
        <f>Table1438[[#This Row],[Total Cost Per Serving (O+Q)/J]]*Table1438[[#This Row],[Estimated Servings Annual]]</f>
        <v>#DIV/0!</v>
      </c>
    </row>
    <row r="92" spans="1:24" x14ac:dyDescent="0.35">
      <c r="A92" s="30" t="s">
        <v>29</v>
      </c>
      <c r="B92" s="12" t="s">
        <v>144</v>
      </c>
      <c r="C92" s="7" t="s">
        <v>145</v>
      </c>
      <c r="D92" s="7"/>
      <c r="E92" s="7"/>
      <c r="F92" s="7"/>
      <c r="G92" s="7"/>
      <c r="H92" s="7"/>
      <c r="I92" s="7"/>
      <c r="J92" s="7"/>
      <c r="K92" s="49">
        <v>80000</v>
      </c>
      <c r="L92" s="7"/>
      <c r="M92" s="7"/>
      <c r="N92" s="7"/>
      <c r="O92" s="7"/>
      <c r="P92" s="7"/>
      <c r="Q92" s="7"/>
      <c r="R92" s="7"/>
      <c r="S92" s="81">
        <f>(Table1438[[#This Row],[Commercial Bid Price per case for NOI ($)]]-Table1438[[#This Row],[Pass-Thru Value per case ($)]])+Table1438[[#This Row],[Region 1: Fixed Fee Per Case ($)]]</f>
        <v>0</v>
      </c>
      <c r="T92" s="77" t="e">
        <f>(Table1438[[#This Row],[Commercial Bid Price per case for NOI ($)]]+Table1438[[#This Row],[Region 1: Fixed Fee Per Case ($)]])/Table1438[[#This Row],['# of CN Servings per case]]</f>
        <v>#DIV/0!</v>
      </c>
      <c r="U92" s="77" t="e">
        <f>Table1438[[#This Row],[Total Cost Per Serving (O+P)/J]]*Table1438[[#This Row],[Estimated Servings Annual]]</f>
        <v>#DIV/0!</v>
      </c>
      <c r="V92" s="81">
        <f>(Table1438[[#This Row],[Commercial Bid Price per case for NOI ($)]]-Table1438[[#This Row],[Pass-Thru Value per case ($)]])+Table1438[[#This Row],[Region 2: Fixed Fee Per Case ($)]]</f>
        <v>0</v>
      </c>
      <c r="W92" s="77" t="e">
        <f>(Table1438[[#This Row],[Commercial Bid Price per case for NOI ($)]]+Table1438[[#This Row],[Region 2: Fixed Fee Per Case ($)]])/Table1438[[#This Row],['# of CN Servings per case]]</f>
        <v>#DIV/0!</v>
      </c>
      <c r="X92" s="82" t="e">
        <f>Table1438[[#This Row],[Total Cost Per Serving (O+Q)/J]]*Table1438[[#This Row],[Estimated Servings Annual]]</f>
        <v>#DIV/0!</v>
      </c>
    </row>
    <row r="93" spans="1:24" x14ac:dyDescent="0.35">
      <c r="A93" s="30" t="s">
        <v>29</v>
      </c>
      <c r="B93" s="12" t="s">
        <v>144</v>
      </c>
      <c r="C93" s="7" t="s">
        <v>13</v>
      </c>
      <c r="D93" s="7"/>
      <c r="E93" s="7"/>
      <c r="F93" s="7"/>
      <c r="G93" s="7"/>
      <c r="H93" s="7"/>
      <c r="I93" s="7"/>
      <c r="J93" s="7"/>
      <c r="K93" s="49">
        <v>80000</v>
      </c>
      <c r="L93" s="7"/>
      <c r="M93" s="7"/>
      <c r="N93" s="7"/>
      <c r="O93" s="7"/>
      <c r="P93" s="7"/>
      <c r="Q93" s="7"/>
      <c r="R93" s="7"/>
      <c r="S93" s="81">
        <f>(Table1438[[#This Row],[Commercial Bid Price per case for NOI ($)]]-Table1438[[#This Row],[Pass-Thru Value per case ($)]])+Table1438[[#This Row],[Region 1: Fixed Fee Per Case ($)]]</f>
        <v>0</v>
      </c>
      <c r="T93" s="77" t="e">
        <f>(Table1438[[#This Row],[Commercial Bid Price per case for NOI ($)]]+Table1438[[#This Row],[Region 1: Fixed Fee Per Case ($)]])/Table1438[[#This Row],['# of CN Servings per case]]</f>
        <v>#DIV/0!</v>
      </c>
      <c r="U93" s="77" t="e">
        <f>Table1438[[#This Row],[Total Cost Per Serving (O+P)/J]]*Table1438[[#This Row],[Estimated Servings Annual]]</f>
        <v>#DIV/0!</v>
      </c>
      <c r="V93" s="81">
        <f>(Table1438[[#This Row],[Commercial Bid Price per case for NOI ($)]]-Table1438[[#This Row],[Pass-Thru Value per case ($)]])+Table1438[[#This Row],[Region 2: Fixed Fee Per Case ($)]]</f>
        <v>0</v>
      </c>
      <c r="W93" s="77" t="e">
        <f>(Table1438[[#This Row],[Commercial Bid Price per case for NOI ($)]]+Table1438[[#This Row],[Region 2: Fixed Fee Per Case ($)]])/Table1438[[#This Row],['# of CN Servings per case]]</f>
        <v>#DIV/0!</v>
      </c>
      <c r="X93" s="82" t="e">
        <f>Table1438[[#This Row],[Total Cost Per Serving (O+Q)/J]]*Table1438[[#This Row],[Estimated Servings Annual]]</f>
        <v>#DIV/0!</v>
      </c>
    </row>
    <row r="94" spans="1:24" x14ac:dyDescent="0.35">
      <c r="A94" s="30" t="s">
        <v>29</v>
      </c>
      <c r="B94" s="12" t="s">
        <v>144</v>
      </c>
      <c r="C94" s="7" t="s">
        <v>13</v>
      </c>
      <c r="D94" s="7"/>
      <c r="E94" s="7"/>
      <c r="F94" s="7"/>
      <c r="G94" s="7"/>
      <c r="H94" s="7"/>
      <c r="I94" s="7"/>
      <c r="J94" s="7"/>
      <c r="K94" s="49">
        <v>80000</v>
      </c>
      <c r="L94" s="7"/>
      <c r="M94" s="7"/>
      <c r="N94" s="7"/>
      <c r="O94" s="7"/>
      <c r="P94" s="7"/>
      <c r="Q94" s="7"/>
      <c r="R94" s="7"/>
      <c r="S94" s="81">
        <f>(Table1438[[#This Row],[Commercial Bid Price per case for NOI ($)]]-Table1438[[#This Row],[Pass-Thru Value per case ($)]])+Table1438[[#This Row],[Region 1: Fixed Fee Per Case ($)]]</f>
        <v>0</v>
      </c>
      <c r="T94" s="77" t="e">
        <f>(Table1438[[#This Row],[Commercial Bid Price per case for NOI ($)]]+Table1438[[#This Row],[Region 1: Fixed Fee Per Case ($)]])/Table1438[[#This Row],['# of CN Servings per case]]</f>
        <v>#DIV/0!</v>
      </c>
      <c r="U94" s="77" t="e">
        <f>Table1438[[#This Row],[Total Cost Per Serving (O+P)/J]]*Table1438[[#This Row],[Estimated Servings Annual]]</f>
        <v>#DIV/0!</v>
      </c>
      <c r="V94" s="81">
        <f>(Table1438[[#This Row],[Commercial Bid Price per case for NOI ($)]]-Table1438[[#This Row],[Pass-Thru Value per case ($)]])+Table1438[[#This Row],[Region 2: Fixed Fee Per Case ($)]]</f>
        <v>0</v>
      </c>
      <c r="W94" s="77" t="e">
        <f>(Table1438[[#This Row],[Commercial Bid Price per case for NOI ($)]]+Table1438[[#This Row],[Region 2: Fixed Fee Per Case ($)]])/Table1438[[#This Row],['# of CN Servings per case]]</f>
        <v>#DIV/0!</v>
      </c>
      <c r="X94" s="82" t="e">
        <f>Table1438[[#This Row],[Total Cost Per Serving (O+Q)/J]]*Table1438[[#This Row],[Estimated Servings Annual]]</f>
        <v>#DIV/0!</v>
      </c>
    </row>
    <row r="95" spans="1:24" x14ac:dyDescent="0.35">
      <c r="A95" s="30" t="s">
        <v>29</v>
      </c>
      <c r="B95" s="12" t="s">
        <v>144</v>
      </c>
      <c r="C95" s="7" t="s">
        <v>13</v>
      </c>
      <c r="D95" s="7"/>
      <c r="E95" s="7"/>
      <c r="F95" s="7"/>
      <c r="G95" s="7"/>
      <c r="H95" s="7"/>
      <c r="I95" s="7"/>
      <c r="J95" s="7"/>
      <c r="K95" s="49">
        <v>80000</v>
      </c>
      <c r="L95" s="7"/>
      <c r="M95" s="7"/>
      <c r="N95" s="7"/>
      <c r="O95" s="7"/>
      <c r="P95" s="7"/>
      <c r="Q95" s="7"/>
      <c r="R95" s="7"/>
      <c r="S95" s="81">
        <f>(Table1438[[#This Row],[Commercial Bid Price per case for NOI ($)]]-Table1438[[#This Row],[Pass-Thru Value per case ($)]])+Table1438[[#This Row],[Region 1: Fixed Fee Per Case ($)]]</f>
        <v>0</v>
      </c>
      <c r="T95" s="77" t="e">
        <f>(Table1438[[#This Row],[Commercial Bid Price per case for NOI ($)]]+Table1438[[#This Row],[Region 1: Fixed Fee Per Case ($)]])/Table1438[[#This Row],['# of CN Servings per case]]</f>
        <v>#DIV/0!</v>
      </c>
      <c r="U95" s="77" t="e">
        <f>Table1438[[#This Row],[Total Cost Per Serving (O+P)/J]]*Table1438[[#This Row],[Estimated Servings Annual]]</f>
        <v>#DIV/0!</v>
      </c>
      <c r="V95" s="81">
        <f>(Table1438[[#This Row],[Commercial Bid Price per case for NOI ($)]]-Table1438[[#This Row],[Pass-Thru Value per case ($)]])+Table1438[[#This Row],[Region 2: Fixed Fee Per Case ($)]]</f>
        <v>0</v>
      </c>
      <c r="W95" s="77" t="e">
        <f>(Table1438[[#This Row],[Commercial Bid Price per case for NOI ($)]]+Table1438[[#This Row],[Region 2: Fixed Fee Per Case ($)]])/Table1438[[#This Row],['# of CN Servings per case]]</f>
        <v>#DIV/0!</v>
      </c>
      <c r="X95" s="82" t="e">
        <f>Table1438[[#This Row],[Total Cost Per Serving (O+Q)/J]]*Table1438[[#This Row],[Estimated Servings Annual]]</f>
        <v>#DIV/0!</v>
      </c>
    </row>
    <row r="96" spans="1:24" x14ac:dyDescent="0.35">
      <c r="A96" s="30" t="s">
        <v>29</v>
      </c>
      <c r="B96" s="12" t="s">
        <v>144</v>
      </c>
      <c r="C96" s="7" t="s">
        <v>13</v>
      </c>
      <c r="D96" s="7"/>
      <c r="E96" s="7"/>
      <c r="F96" s="7"/>
      <c r="G96" s="7"/>
      <c r="H96" s="7"/>
      <c r="I96" s="7"/>
      <c r="J96" s="7"/>
      <c r="K96" s="49">
        <v>80000</v>
      </c>
      <c r="L96" s="7"/>
      <c r="M96" s="7"/>
      <c r="N96" s="7"/>
      <c r="O96" s="7"/>
      <c r="P96" s="7"/>
      <c r="Q96" s="7"/>
      <c r="R96" s="7"/>
      <c r="S96" s="81">
        <f>(Table1438[[#This Row],[Commercial Bid Price per case for NOI ($)]]-Table1438[[#This Row],[Pass-Thru Value per case ($)]])+Table1438[[#This Row],[Region 1: Fixed Fee Per Case ($)]]</f>
        <v>0</v>
      </c>
      <c r="T96" s="77" t="e">
        <f>(Table1438[[#This Row],[Commercial Bid Price per case for NOI ($)]]+Table1438[[#This Row],[Region 1: Fixed Fee Per Case ($)]])/Table1438[[#This Row],['# of CN Servings per case]]</f>
        <v>#DIV/0!</v>
      </c>
      <c r="U96" s="77" t="e">
        <f>Table1438[[#This Row],[Total Cost Per Serving (O+P)/J]]*Table1438[[#This Row],[Estimated Servings Annual]]</f>
        <v>#DIV/0!</v>
      </c>
      <c r="V96" s="81">
        <f>(Table1438[[#This Row],[Commercial Bid Price per case for NOI ($)]]-Table1438[[#This Row],[Pass-Thru Value per case ($)]])+Table1438[[#This Row],[Region 2: Fixed Fee Per Case ($)]]</f>
        <v>0</v>
      </c>
      <c r="W96" s="77" t="e">
        <f>(Table1438[[#This Row],[Commercial Bid Price per case for NOI ($)]]+Table1438[[#This Row],[Region 2: Fixed Fee Per Case ($)]])/Table1438[[#This Row],['# of CN Servings per case]]</f>
        <v>#DIV/0!</v>
      </c>
      <c r="X96" s="82" t="e">
        <f>Table1438[[#This Row],[Total Cost Per Serving (O+Q)/J]]*Table1438[[#This Row],[Estimated Servings Annual]]</f>
        <v>#DIV/0!</v>
      </c>
    </row>
    <row r="97" spans="1:24" x14ac:dyDescent="0.35">
      <c r="A97" s="30" t="s">
        <v>29</v>
      </c>
      <c r="B97" s="12" t="s">
        <v>144</v>
      </c>
      <c r="C97" s="7" t="s">
        <v>13</v>
      </c>
      <c r="D97" s="7"/>
      <c r="E97" s="7"/>
      <c r="F97" s="7"/>
      <c r="G97" s="7"/>
      <c r="H97" s="7"/>
      <c r="I97" s="7"/>
      <c r="J97" s="7"/>
      <c r="K97" s="49">
        <v>80000</v>
      </c>
      <c r="L97" s="7"/>
      <c r="M97" s="7"/>
      <c r="N97" s="7"/>
      <c r="O97" s="7"/>
      <c r="P97" s="7"/>
      <c r="Q97" s="7"/>
      <c r="R97" s="7"/>
      <c r="S97" s="81">
        <f>(Table1438[[#This Row],[Commercial Bid Price per case for NOI ($)]]-Table1438[[#This Row],[Pass-Thru Value per case ($)]])+Table1438[[#This Row],[Region 1: Fixed Fee Per Case ($)]]</f>
        <v>0</v>
      </c>
      <c r="T97" s="77" t="e">
        <f>(Table1438[[#This Row],[Commercial Bid Price per case for NOI ($)]]+Table1438[[#This Row],[Region 1: Fixed Fee Per Case ($)]])/Table1438[[#This Row],['# of CN Servings per case]]</f>
        <v>#DIV/0!</v>
      </c>
      <c r="U97" s="77" t="e">
        <f>Table1438[[#This Row],[Total Cost Per Serving (O+P)/J]]*Table1438[[#This Row],[Estimated Servings Annual]]</f>
        <v>#DIV/0!</v>
      </c>
      <c r="V97" s="81">
        <f>(Table1438[[#This Row],[Commercial Bid Price per case for NOI ($)]]-Table1438[[#This Row],[Pass-Thru Value per case ($)]])+Table1438[[#This Row],[Region 2: Fixed Fee Per Case ($)]]</f>
        <v>0</v>
      </c>
      <c r="W97" s="77" t="e">
        <f>(Table1438[[#This Row],[Commercial Bid Price per case for NOI ($)]]+Table1438[[#This Row],[Region 2: Fixed Fee Per Case ($)]])/Table1438[[#This Row],['# of CN Servings per case]]</f>
        <v>#DIV/0!</v>
      </c>
      <c r="X97" s="82" t="e">
        <f>Table1438[[#This Row],[Total Cost Per Serving (O+Q)/J]]*Table1438[[#This Row],[Estimated Servings Annual]]</f>
        <v>#DIV/0!</v>
      </c>
    </row>
    <row r="98" spans="1:24" ht="15" thickBot="1" x14ac:dyDescent="0.4">
      <c r="A98" s="36" t="s">
        <v>29</v>
      </c>
      <c r="B98" s="13" t="s">
        <v>144</v>
      </c>
      <c r="C98" s="8" t="s">
        <v>13</v>
      </c>
      <c r="D98" s="8"/>
      <c r="E98" s="8"/>
      <c r="F98" s="8"/>
      <c r="G98" s="8"/>
      <c r="H98" s="8"/>
      <c r="I98" s="8"/>
      <c r="J98" s="8"/>
      <c r="K98" s="50">
        <v>80000</v>
      </c>
      <c r="L98" s="8"/>
      <c r="M98" s="8"/>
      <c r="N98" s="8"/>
      <c r="O98" s="8"/>
      <c r="P98" s="8"/>
      <c r="Q98" s="8"/>
      <c r="R98" s="8"/>
      <c r="S98" s="83">
        <f>(Table1438[[#This Row],[Commercial Bid Price per case for NOI ($)]]-Table1438[[#This Row],[Pass-Thru Value per case ($)]])+Table1438[[#This Row],[Region 1: Fixed Fee Per Case ($)]]</f>
        <v>0</v>
      </c>
      <c r="T98" s="78" t="e">
        <f>(Table1438[[#This Row],[Commercial Bid Price per case for NOI ($)]]+Table1438[[#This Row],[Region 1: Fixed Fee Per Case ($)]])/Table1438[[#This Row],['# of CN Servings per case]]</f>
        <v>#DIV/0!</v>
      </c>
      <c r="U98" s="78" t="e">
        <f>Table1438[[#This Row],[Total Cost Per Serving (O+P)/J]]*Table1438[[#This Row],[Estimated Servings Annual]]</f>
        <v>#DIV/0!</v>
      </c>
      <c r="V98" s="83">
        <f>(Table1438[[#This Row],[Commercial Bid Price per case for NOI ($)]]-Table1438[[#This Row],[Pass-Thru Value per case ($)]])+Table1438[[#This Row],[Region 2: Fixed Fee Per Case ($)]]</f>
        <v>0</v>
      </c>
      <c r="W98" s="78" t="e">
        <f>(Table1438[[#This Row],[Commercial Bid Price per case for NOI ($)]]+Table1438[[#This Row],[Region 2: Fixed Fee Per Case ($)]])/Table1438[[#This Row],['# of CN Servings per case]]</f>
        <v>#DIV/0!</v>
      </c>
      <c r="X98" s="84" t="e">
        <f>Table1438[[#This Row],[Total Cost Per Serving (O+Q)/J]]*Table1438[[#This Row],[Estimated Servings Annual]]</f>
        <v>#DIV/0!</v>
      </c>
    </row>
    <row r="99" spans="1:24" x14ac:dyDescent="0.35">
      <c r="A99" s="30" t="s">
        <v>29</v>
      </c>
      <c r="B99" s="11" t="s">
        <v>146</v>
      </c>
      <c r="C99" s="6" t="s">
        <v>145</v>
      </c>
      <c r="D99" s="6"/>
      <c r="E99" s="6"/>
      <c r="F99" s="6"/>
      <c r="G99" s="6"/>
      <c r="H99" s="6"/>
      <c r="I99" s="6"/>
      <c r="J99" s="6"/>
      <c r="K99" s="15">
        <v>75000</v>
      </c>
      <c r="L99" s="6"/>
      <c r="M99" s="6"/>
      <c r="N99" s="6"/>
      <c r="O99" s="6"/>
      <c r="P99" s="6"/>
      <c r="Q99" s="6"/>
      <c r="R99" s="6"/>
      <c r="S99" s="79">
        <f>(Table1438[[#This Row],[Commercial Bid Price per case for NOI ($)]]-Table1438[[#This Row],[Pass-Thru Value per case ($)]])+Table1438[[#This Row],[Region 1: Fixed Fee Per Case ($)]]</f>
        <v>0</v>
      </c>
      <c r="T99" s="76" t="e">
        <f>(Table1438[[#This Row],[Commercial Bid Price per case for NOI ($)]]+Table1438[[#This Row],[Region 1: Fixed Fee Per Case ($)]])/Table1438[[#This Row],['# of CN Servings per case]]</f>
        <v>#DIV/0!</v>
      </c>
      <c r="U99" s="76" t="e">
        <f>Table1438[[#This Row],[Total Cost Per Serving (O+P)/J]]*Table1438[[#This Row],[Estimated Servings Annual]]</f>
        <v>#DIV/0!</v>
      </c>
      <c r="V99" s="79">
        <f>(Table1438[[#This Row],[Commercial Bid Price per case for NOI ($)]]-Table1438[[#This Row],[Pass-Thru Value per case ($)]])+Table1438[[#This Row],[Region 2: Fixed Fee Per Case ($)]]</f>
        <v>0</v>
      </c>
      <c r="W99" s="76" t="e">
        <f>(Table1438[[#This Row],[Commercial Bid Price per case for NOI ($)]]+Table1438[[#This Row],[Region 2: Fixed Fee Per Case ($)]])/Table1438[[#This Row],['# of CN Servings per case]]</f>
        <v>#DIV/0!</v>
      </c>
      <c r="X99" s="80" t="e">
        <f>Table1438[[#This Row],[Total Cost Per Serving (O+Q)/J]]*Table1438[[#This Row],[Estimated Servings Annual]]</f>
        <v>#DIV/0!</v>
      </c>
    </row>
    <row r="100" spans="1:24" x14ac:dyDescent="0.35">
      <c r="A100" s="30" t="s">
        <v>29</v>
      </c>
      <c r="B100" s="12" t="s">
        <v>146</v>
      </c>
      <c r="C100" s="7" t="s">
        <v>145</v>
      </c>
      <c r="D100" s="7"/>
      <c r="E100" s="7"/>
      <c r="F100" s="7"/>
      <c r="G100" s="7"/>
      <c r="H100" s="7"/>
      <c r="I100" s="7"/>
      <c r="J100" s="7"/>
      <c r="K100" s="16">
        <v>75000</v>
      </c>
      <c r="L100" s="7"/>
      <c r="M100" s="7"/>
      <c r="N100" s="7"/>
      <c r="O100" s="7"/>
      <c r="P100" s="7"/>
      <c r="Q100" s="7"/>
      <c r="R100" s="7"/>
      <c r="S100" s="81">
        <f>(Table1438[[#This Row],[Commercial Bid Price per case for NOI ($)]]-Table1438[[#This Row],[Pass-Thru Value per case ($)]])+Table1438[[#This Row],[Region 1: Fixed Fee Per Case ($)]]</f>
        <v>0</v>
      </c>
      <c r="T100" s="77" t="e">
        <f>(Table1438[[#This Row],[Commercial Bid Price per case for NOI ($)]]+Table1438[[#This Row],[Region 1: Fixed Fee Per Case ($)]])/Table1438[[#This Row],['# of CN Servings per case]]</f>
        <v>#DIV/0!</v>
      </c>
      <c r="U100" s="77" t="e">
        <f>Table1438[[#This Row],[Total Cost Per Serving (O+P)/J]]*Table1438[[#This Row],[Estimated Servings Annual]]</f>
        <v>#DIV/0!</v>
      </c>
      <c r="V100" s="81">
        <f>(Table1438[[#This Row],[Commercial Bid Price per case for NOI ($)]]-Table1438[[#This Row],[Pass-Thru Value per case ($)]])+Table1438[[#This Row],[Region 2: Fixed Fee Per Case ($)]]</f>
        <v>0</v>
      </c>
      <c r="W100" s="77" t="e">
        <f>(Table1438[[#This Row],[Commercial Bid Price per case for NOI ($)]]+Table1438[[#This Row],[Region 2: Fixed Fee Per Case ($)]])/Table1438[[#This Row],['# of CN Servings per case]]</f>
        <v>#DIV/0!</v>
      </c>
      <c r="X100" s="82" t="e">
        <f>Table1438[[#This Row],[Total Cost Per Serving (O+Q)/J]]*Table1438[[#This Row],[Estimated Servings Annual]]</f>
        <v>#DIV/0!</v>
      </c>
    </row>
    <row r="101" spans="1:24" x14ac:dyDescent="0.35">
      <c r="A101" s="30" t="s">
        <v>29</v>
      </c>
      <c r="B101" s="12" t="s">
        <v>146</v>
      </c>
      <c r="C101" s="7" t="s">
        <v>51</v>
      </c>
      <c r="D101" s="7"/>
      <c r="E101" s="7"/>
      <c r="F101" s="7"/>
      <c r="G101" s="7"/>
      <c r="H101" s="7"/>
      <c r="I101" s="7"/>
      <c r="J101" s="7"/>
      <c r="K101" s="16">
        <v>75000</v>
      </c>
      <c r="L101" s="7"/>
      <c r="M101" s="7"/>
      <c r="N101" s="7"/>
      <c r="O101" s="7"/>
      <c r="P101" s="7"/>
      <c r="Q101" s="7"/>
      <c r="R101" s="7"/>
      <c r="S101" s="81">
        <f>(Table1438[[#This Row],[Commercial Bid Price per case for NOI ($)]]-Table1438[[#This Row],[Pass-Thru Value per case ($)]])+Table1438[[#This Row],[Region 1: Fixed Fee Per Case ($)]]</f>
        <v>0</v>
      </c>
      <c r="T101" s="77" t="e">
        <f>(Table1438[[#This Row],[Commercial Bid Price per case for NOI ($)]]+Table1438[[#This Row],[Region 1: Fixed Fee Per Case ($)]])/Table1438[[#This Row],['# of CN Servings per case]]</f>
        <v>#DIV/0!</v>
      </c>
      <c r="U101" s="77" t="e">
        <f>Table1438[[#This Row],[Total Cost Per Serving (O+P)/J]]*Table1438[[#This Row],[Estimated Servings Annual]]</f>
        <v>#DIV/0!</v>
      </c>
      <c r="V101" s="81">
        <f>(Table1438[[#This Row],[Commercial Bid Price per case for NOI ($)]]-Table1438[[#This Row],[Pass-Thru Value per case ($)]])+Table1438[[#This Row],[Region 2: Fixed Fee Per Case ($)]]</f>
        <v>0</v>
      </c>
      <c r="W101" s="77" t="e">
        <f>(Table1438[[#This Row],[Commercial Bid Price per case for NOI ($)]]+Table1438[[#This Row],[Region 2: Fixed Fee Per Case ($)]])/Table1438[[#This Row],['# of CN Servings per case]]</f>
        <v>#DIV/0!</v>
      </c>
      <c r="X101" s="82" t="e">
        <f>Table1438[[#This Row],[Total Cost Per Serving (O+Q)/J]]*Table1438[[#This Row],[Estimated Servings Annual]]</f>
        <v>#DIV/0!</v>
      </c>
    </row>
    <row r="102" spans="1:24" x14ac:dyDescent="0.35">
      <c r="A102" s="30" t="s">
        <v>29</v>
      </c>
      <c r="B102" s="12" t="s">
        <v>146</v>
      </c>
      <c r="C102" s="7" t="s">
        <v>51</v>
      </c>
      <c r="D102" s="7"/>
      <c r="E102" s="7"/>
      <c r="F102" s="7"/>
      <c r="G102" s="7"/>
      <c r="H102" s="7"/>
      <c r="I102" s="7"/>
      <c r="J102" s="7"/>
      <c r="K102" s="16">
        <v>75000</v>
      </c>
      <c r="L102" s="7"/>
      <c r="M102" s="7"/>
      <c r="N102" s="7"/>
      <c r="O102" s="7"/>
      <c r="P102" s="7"/>
      <c r="Q102" s="7"/>
      <c r="R102" s="7"/>
      <c r="S102" s="81">
        <f>(Table1438[[#This Row],[Commercial Bid Price per case for NOI ($)]]-Table1438[[#This Row],[Pass-Thru Value per case ($)]])+Table1438[[#This Row],[Region 1: Fixed Fee Per Case ($)]]</f>
        <v>0</v>
      </c>
      <c r="T102" s="77" t="e">
        <f>(Table1438[[#This Row],[Commercial Bid Price per case for NOI ($)]]+Table1438[[#This Row],[Region 1: Fixed Fee Per Case ($)]])/Table1438[[#This Row],['# of CN Servings per case]]</f>
        <v>#DIV/0!</v>
      </c>
      <c r="U102" s="77" t="e">
        <f>Table1438[[#This Row],[Total Cost Per Serving (O+P)/J]]*Table1438[[#This Row],[Estimated Servings Annual]]</f>
        <v>#DIV/0!</v>
      </c>
      <c r="V102" s="81">
        <f>(Table1438[[#This Row],[Commercial Bid Price per case for NOI ($)]]-Table1438[[#This Row],[Pass-Thru Value per case ($)]])+Table1438[[#This Row],[Region 2: Fixed Fee Per Case ($)]]</f>
        <v>0</v>
      </c>
      <c r="W102" s="77" t="e">
        <f>(Table1438[[#This Row],[Commercial Bid Price per case for NOI ($)]]+Table1438[[#This Row],[Region 2: Fixed Fee Per Case ($)]])/Table1438[[#This Row],['# of CN Servings per case]]</f>
        <v>#DIV/0!</v>
      </c>
      <c r="X102" s="82" t="e">
        <f>Table1438[[#This Row],[Total Cost Per Serving (O+Q)/J]]*Table1438[[#This Row],[Estimated Servings Annual]]</f>
        <v>#DIV/0!</v>
      </c>
    </row>
    <row r="103" spans="1:24" x14ac:dyDescent="0.35">
      <c r="A103" s="30" t="s">
        <v>29</v>
      </c>
      <c r="B103" s="12" t="s">
        <v>146</v>
      </c>
      <c r="C103" s="7" t="s">
        <v>52</v>
      </c>
      <c r="D103" s="7"/>
      <c r="E103" s="7"/>
      <c r="F103" s="7"/>
      <c r="G103" s="7"/>
      <c r="H103" s="7"/>
      <c r="I103" s="7"/>
      <c r="J103" s="7"/>
      <c r="K103" s="16">
        <v>75000</v>
      </c>
      <c r="L103" s="7"/>
      <c r="M103" s="7"/>
      <c r="N103" s="7"/>
      <c r="O103" s="7"/>
      <c r="P103" s="7"/>
      <c r="Q103" s="7"/>
      <c r="R103" s="7"/>
      <c r="S103" s="81">
        <f>(Table1438[[#This Row],[Commercial Bid Price per case for NOI ($)]]-Table1438[[#This Row],[Pass-Thru Value per case ($)]])+Table1438[[#This Row],[Region 1: Fixed Fee Per Case ($)]]</f>
        <v>0</v>
      </c>
      <c r="T103" s="77" t="e">
        <f>(Table1438[[#This Row],[Commercial Bid Price per case for NOI ($)]]+Table1438[[#This Row],[Region 1: Fixed Fee Per Case ($)]])/Table1438[[#This Row],['# of CN Servings per case]]</f>
        <v>#DIV/0!</v>
      </c>
      <c r="U103" s="77" t="e">
        <f>Table1438[[#This Row],[Total Cost Per Serving (O+P)/J]]*Table1438[[#This Row],[Estimated Servings Annual]]</f>
        <v>#DIV/0!</v>
      </c>
      <c r="V103" s="81">
        <f>(Table1438[[#This Row],[Commercial Bid Price per case for NOI ($)]]-Table1438[[#This Row],[Pass-Thru Value per case ($)]])+Table1438[[#This Row],[Region 2: Fixed Fee Per Case ($)]]</f>
        <v>0</v>
      </c>
      <c r="W103" s="77" t="e">
        <f>(Table1438[[#This Row],[Commercial Bid Price per case for NOI ($)]]+Table1438[[#This Row],[Region 2: Fixed Fee Per Case ($)]])/Table1438[[#This Row],['# of CN Servings per case]]</f>
        <v>#DIV/0!</v>
      </c>
      <c r="X103" s="82" t="e">
        <f>Table1438[[#This Row],[Total Cost Per Serving (O+Q)/J]]*Table1438[[#This Row],[Estimated Servings Annual]]</f>
        <v>#DIV/0!</v>
      </c>
    </row>
    <row r="104" spans="1:24" x14ac:dyDescent="0.35">
      <c r="A104" s="30" t="s">
        <v>29</v>
      </c>
      <c r="B104" s="12" t="s">
        <v>146</v>
      </c>
      <c r="C104" s="7" t="s">
        <v>52</v>
      </c>
      <c r="D104" s="7"/>
      <c r="E104" s="7"/>
      <c r="F104" s="7"/>
      <c r="G104" s="7"/>
      <c r="H104" s="7"/>
      <c r="I104" s="7"/>
      <c r="J104" s="7"/>
      <c r="K104" s="16">
        <v>75000</v>
      </c>
      <c r="L104" s="7"/>
      <c r="M104" s="7"/>
      <c r="N104" s="7"/>
      <c r="O104" s="7"/>
      <c r="P104" s="7"/>
      <c r="Q104" s="7"/>
      <c r="R104" s="7"/>
      <c r="S104" s="81">
        <f>(Table1438[[#This Row],[Commercial Bid Price per case for NOI ($)]]-Table1438[[#This Row],[Pass-Thru Value per case ($)]])+Table1438[[#This Row],[Region 1: Fixed Fee Per Case ($)]]</f>
        <v>0</v>
      </c>
      <c r="T104" s="77" t="e">
        <f>(Table1438[[#This Row],[Commercial Bid Price per case for NOI ($)]]+Table1438[[#This Row],[Region 1: Fixed Fee Per Case ($)]])/Table1438[[#This Row],['# of CN Servings per case]]</f>
        <v>#DIV/0!</v>
      </c>
      <c r="U104" s="77" t="e">
        <f>Table1438[[#This Row],[Total Cost Per Serving (O+P)/J]]*Table1438[[#This Row],[Estimated Servings Annual]]</f>
        <v>#DIV/0!</v>
      </c>
      <c r="V104" s="81">
        <f>(Table1438[[#This Row],[Commercial Bid Price per case for NOI ($)]]-Table1438[[#This Row],[Pass-Thru Value per case ($)]])+Table1438[[#This Row],[Region 2: Fixed Fee Per Case ($)]]</f>
        <v>0</v>
      </c>
      <c r="W104" s="77" t="e">
        <f>(Table1438[[#This Row],[Commercial Bid Price per case for NOI ($)]]+Table1438[[#This Row],[Region 2: Fixed Fee Per Case ($)]])/Table1438[[#This Row],['# of CN Servings per case]]</f>
        <v>#DIV/0!</v>
      </c>
      <c r="X104" s="82" t="e">
        <f>Table1438[[#This Row],[Total Cost Per Serving (O+Q)/J]]*Table1438[[#This Row],[Estimated Servings Annual]]</f>
        <v>#DIV/0!</v>
      </c>
    </row>
    <row r="105" spans="1:24" x14ac:dyDescent="0.35">
      <c r="A105" s="30" t="s">
        <v>29</v>
      </c>
      <c r="B105" s="12" t="s">
        <v>146</v>
      </c>
      <c r="C105" s="7" t="s">
        <v>13</v>
      </c>
      <c r="D105" s="7"/>
      <c r="E105" s="7"/>
      <c r="F105" s="7"/>
      <c r="G105" s="7"/>
      <c r="H105" s="7"/>
      <c r="I105" s="7"/>
      <c r="J105" s="7"/>
      <c r="K105" s="16">
        <v>75000</v>
      </c>
      <c r="L105" s="7"/>
      <c r="M105" s="7"/>
      <c r="N105" s="7"/>
      <c r="O105" s="7"/>
      <c r="P105" s="7"/>
      <c r="Q105" s="7"/>
      <c r="R105" s="7"/>
      <c r="S105" s="81">
        <f>(Table1438[[#This Row],[Commercial Bid Price per case for NOI ($)]]-Table1438[[#This Row],[Pass-Thru Value per case ($)]])+Table1438[[#This Row],[Region 1: Fixed Fee Per Case ($)]]</f>
        <v>0</v>
      </c>
      <c r="T105" s="77" t="e">
        <f>(Table1438[[#This Row],[Commercial Bid Price per case for NOI ($)]]+Table1438[[#This Row],[Region 1: Fixed Fee Per Case ($)]])/Table1438[[#This Row],['# of CN Servings per case]]</f>
        <v>#DIV/0!</v>
      </c>
      <c r="U105" s="77" t="e">
        <f>Table1438[[#This Row],[Total Cost Per Serving (O+P)/J]]*Table1438[[#This Row],[Estimated Servings Annual]]</f>
        <v>#DIV/0!</v>
      </c>
      <c r="V105" s="81">
        <f>(Table1438[[#This Row],[Commercial Bid Price per case for NOI ($)]]-Table1438[[#This Row],[Pass-Thru Value per case ($)]])+Table1438[[#This Row],[Region 2: Fixed Fee Per Case ($)]]</f>
        <v>0</v>
      </c>
      <c r="W105" s="77" t="e">
        <f>(Table1438[[#This Row],[Commercial Bid Price per case for NOI ($)]]+Table1438[[#This Row],[Region 2: Fixed Fee Per Case ($)]])/Table1438[[#This Row],['# of CN Servings per case]]</f>
        <v>#DIV/0!</v>
      </c>
      <c r="X105" s="82" t="e">
        <f>Table1438[[#This Row],[Total Cost Per Serving (O+Q)/J]]*Table1438[[#This Row],[Estimated Servings Annual]]</f>
        <v>#DIV/0!</v>
      </c>
    </row>
    <row r="106" spans="1:24" ht="15" thickBot="1" x14ac:dyDescent="0.4">
      <c r="A106" s="36" t="s">
        <v>29</v>
      </c>
      <c r="B106" s="12" t="s">
        <v>146</v>
      </c>
      <c r="C106" s="8" t="s">
        <v>13</v>
      </c>
      <c r="D106" s="8"/>
      <c r="E106" s="8"/>
      <c r="F106" s="8"/>
      <c r="G106" s="8"/>
      <c r="H106" s="8"/>
      <c r="I106" s="8"/>
      <c r="J106" s="8"/>
      <c r="K106" s="17">
        <v>75000</v>
      </c>
      <c r="L106" s="8"/>
      <c r="M106" s="8"/>
      <c r="N106" s="8"/>
      <c r="O106" s="8"/>
      <c r="P106" s="8"/>
      <c r="Q106" s="8"/>
      <c r="R106" s="8"/>
      <c r="S106" s="83">
        <f>(Table1438[[#This Row],[Commercial Bid Price per case for NOI ($)]]-Table1438[[#This Row],[Pass-Thru Value per case ($)]])+Table1438[[#This Row],[Region 1: Fixed Fee Per Case ($)]]</f>
        <v>0</v>
      </c>
      <c r="T106" s="78" t="e">
        <f>(Table1438[[#This Row],[Commercial Bid Price per case for NOI ($)]]+Table1438[[#This Row],[Region 1: Fixed Fee Per Case ($)]])/Table1438[[#This Row],['# of CN Servings per case]]</f>
        <v>#DIV/0!</v>
      </c>
      <c r="U106" s="78" t="e">
        <f>Table1438[[#This Row],[Total Cost Per Serving (O+P)/J]]*Table1438[[#This Row],[Estimated Servings Annual]]</f>
        <v>#DIV/0!</v>
      </c>
      <c r="V106" s="83">
        <f>(Table1438[[#This Row],[Commercial Bid Price per case for NOI ($)]]-Table1438[[#This Row],[Pass-Thru Value per case ($)]])+Table1438[[#This Row],[Region 2: Fixed Fee Per Case ($)]]</f>
        <v>0</v>
      </c>
      <c r="W106" s="78" t="e">
        <f>(Table1438[[#This Row],[Commercial Bid Price per case for NOI ($)]]+Table1438[[#This Row],[Region 2: Fixed Fee Per Case ($)]])/Table1438[[#This Row],['# of CN Servings per case]]</f>
        <v>#DIV/0!</v>
      </c>
      <c r="X106" s="84" t="e">
        <f>Table1438[[#This Row],[Total Cost Per Serving (O+Q)/J]]*Table1438[[#This Row],[Estimated Servings Annual]]</f>
        <v>#DIV/0!</v>
      </c>
    </row>
    <row r="107" spans="1:24" x14ac:dyDescent="0.35">
      <c r="A107" s="30" t="s">
        <v>29</v>
      </c>
      <c r="B107" s="11" t="s">
        <v>147</v>
      </c>
      <c r="C107" s="6" t="s">
        <v>145</v>
      </c>
      <c r="D107" s="6"/>
      <c r="E107" s="6"/>
      <c r="F107" s="6"/>
      <c r="G107" s="6"/>
      <c r="H107" s="6"/>
      <c r="I107" s="6"/>
      <c r="J107" s="6"/>
      <c r="K107" s="15">
        <v>125000</v>
      </c>
      <c r="L107" s="6"/>
      <c r="M107" s="6"/>
      <c r="N107" s="6"/>
      <c r="O107" s="6"/>
      <c r="P107" s="6"/>
      <c r="Q107" s="6"/>
      <c r="R107" s="6"/>
      <c r="S107" s="79">
        <f>(Table1438[[#This Row],[Commercial Bid Price per case for NOI ($)]]-Table1438[[#This Row],[Pass-Thru Value per case ($)]])+Table1438[[#This Row],[Region 1: Fixed Fee Per Case ($)]]</f>
        <v>0</v>
      </c>
      <c r="T107" s="76" t="e">
        <f>(Table1438[[#This Row],[Commercial Bid Price per case for NOI ($)]]+Table1438[[#This Row],[Region 1: Fixed Fee Per Case ($)]])/Table1438[[#This Row],['# of CN Servings per case]]</f>
        <v>#DIV/0!</v>
      </c>
      <c r="U107" s="76" t="e">
        <f>Table1438[[#This Row],[Total Cost Per Serving (O+P)/J]]*Table1438[[#This Row],[Estimated Servings Annual]]</f>
        <v>#DIV/0!</v>
      </c>
      <c r="V107" s="79">
        <f>(Table1438[[#This Row],[Commercial Bid Price per case for NOI ($)]]-Table1438[[#This Row],[Pass-Thru Value per case ($)]])+Table1438[[#This Row],[Region 2: Fixed Fee Per Case ($)]]</f>
        <v>0</v>
      </c>
      <c r="W107" s="76" t="e">
        <f>(Table1438[[#This Row],[Commercial Bid Price per case for NOI ($)]]+Table1438[[#This Row],[Region 2: Fixed Fee Per Case ($)]])/Table1438[[#This Row],['# of CN Servings per case]]</f>
        <v>#DIV/0!</v>
      </c>
      <c r="X107" s="80" t="e">
        <f>Table1438[[#This Row],[Total Cost Per Serving (O+Q)/J]]*Table1438[[#This Row],[Estimated Servings Annual]]</f>
        <v>#DIV/0!</v>
      </c>
    </row>
    <row r="108" spans="1:24" x14ac:dyDescent="0.35">
      <c r="A108" s="30" t="s">
        <v>29</v>
      </c>
      <c r="B108" s="12" t="s">
        <v>147</v>
      </c>
      <c r="C108" s="7" t="s">
        <v>145</v>
      </c>
      <c r="D108" s="7"/>
      <c r="E108" s="7"/>
      <c r="F108" s="7"/>
      <c r="G108" s="7"/>
      <c r="H108" s="7"/>
      <c r="I108" s="7"/>
      <c r="J108" s="7"/>
      <c r="K108" s="16">
        <v>125000</v>
      </c>
      <c r="L108" s="7"/>
      <c r="M108" s="7"/>
      <c r="N108" s="7"/>
      <c r="O108" s="7"/>
      <c r="P108" s="7"/>
      <c r="Q108" s="7"/>
      <c r="R108" s="7"/>
      <c r="S108" s="81">
        <f>(Table1438[[#This Row],[Commercial Bid Price per case for NOI ($)]]-Table1438[[#This Row],[Pass-Thru Value per case ($)]])+Table1438[[#This Row],[Region 1: Fixed Fee Per Case ($)]]</f>
        <v>0</v>
      </c>
      <c r="T108" s="77" t="e">
        <f>(Table1438[[#This Row],[Commercial Bid Price per case for NOI ($)]]+Table1438[[#This Row],[Region 1: Fixed Fee Per Case ($)]])/Table1438[[#This Row],['# of CN Servings per case]]</f>
        <v>#DIV/0!</v>
      </c>
      <c r="U108" s="77" t="e">
        <f>Table1438[[#This Row],[Total Cost Per Serving (O+P)/J]]*Table1438[[#This Row],[Estimated Servings Annual]]</f>
        <v>#DIV/0!</v>
      </c>
      <c r="V108" s="81">
        <f>(Table1438[[#This Row],[Commercial Bid Price per case for NOI ($)]]-Table1438[[#This Row],[Pass-Thru Value per case ($)]])+Table1438[[#This Row],[Region 2: Fixed Fee Per Case ($)]]</f>
        <v>0</v>
      </c>
      <c r="W108" s="77" t="e">
        <f>(Table1438[[#This Row],[Commercial Bid Price per case for NOI ($)]]+Table1438[[#This Row],[Region 2: Fixed Fee Per Case ($)]])/Table1438[[#This Row],['# of CN Servings per case]]</f>
        <v>#DIV/0!</v>
      </c>
      <c r="X108" s="82" t="e">
        <f>Table1438[[#This Row],[Total Cost Per Serving (O+Q)/J]]*Table1438[[#This Row],[Estimated Servings Annual]]</f>
        <v>#DIV/0!</v>
      </c>
    </row>
    <row r="109" spans="1:24" x14ac:dyDescent="0.35">
      <c r="A109" s="30" t="s">
        <v>29</v>
      </c>
      <c r="B109" s="12" t="s">
        <v>147</v>
      </c>
      <c r="C109" s="7" t="s">
        <v>51</v>
      </c>
      <c r="D109" s="7"/>
      <c r="E109" s="7"/>
      <c r="F109" s="7"/>
      <c r="G109" s="7"/>
      <c r="H109" s="7"/>
      <c r="I109" s="7"/>
      <c r="J109" s="7"/>
      <c r="K109" s="16">
        <v>125000</v>
      </c>
      <c r="L109" s="7"/>
      <c r="M109" s="7"/>
      <c r="N109" s="7"/>
      <c r="O109" s="7"/>
      <c r="P109" s="7"/>
      <c r="Q109" s="7"/>
      <c r="R109" s="7"/>
      <c r="S109" s="81">
        <f>(Table1438[[#This Row],[Commercial Bid Price per case for NOI ($)]]-Table1438[[#This Row],[Pass-Thru Value per case ($)]])+Table1438[[#This Row],[Region 1: Fixed Fee Per Case ($)]]</f>
        <v>0</v>
      </c>
      <c r="T109" s="77" t="e">
        <f>(Table1438[[#This Row],[Commercial Bid Price per case for NOI ($)]]+Table1438[[#This Row],[Region 1: Fixed Fee Per Case ($)]])/Table1438[[#This Row],['# of CN Servings per case]]</f>
        <v>#DIV/0!</v>
      </c>
      <c r="U109" s="77" t="e">
        <f>Table1438[[#This Row],[Total Cost Per Serving (O+P)/J]]*Table1438[[#This Row],[Estimated Servings Annual]]</f>
        <v>#DIV/0!</v>
      </c>
      <c r="V109" s="81">
        <f>(Table1438[[#This Row],[Commercial Bid Price per case for NOI ($)]]-Table1438[[#This Row],[Pass-Thru Value per case ($)]])+Table1438[[#This Row],[Region 2: Fixed Fee Per Case ($)]]</f>
        <v>0</v>
      </c>
      <c r="W109" s="77" t="e">
        <f>(Table1438[[#This Row],[Commercial Bid Price per case for NOI ($)]]+Table1438[[#This Row],[Region 2: Fixed Fee Per Case ($)]])/Table1438[[#This Row],['# of CN Servings per case]]</f>
        <v>#DIV/0!</v>
      </c>
      <c r="X109" s="82" t="e">
        <f>Table1438[[#This Row],[Total Cost Per Serving (O+Q)/J]]*Table1438[[#This Row],[Estimated Servings Annual]]</f>
        <v>#DIV/0!</v>
      </c>
    </row>
    <row r="110" spans="1:24" x14ac:dyDescent="0.35">
      <c r="A110" s="30" t="s">
        <v>29</v>
      </c>
      <c r="B110" s="12" t="s">
        <v>147</v>
      </c>
      <c r="C110" s="7" t="s">
        <v>51</v>
      </c>
      <c r="D110" s="7"/>
      <c r="E110" s="7"/>
      <c r="F110" s="7"/>
      <c r="G110" s="7"/>
      <c r="H110" s="7"/>
      <c r="I110" s="7"/>
      <c r="J110" s="7"/>
      <c r="K110" s="16">
        <v>125000</v>
      </c>
      <c r="L110" s="7"/>
      <c r="M110" s="7"/>
      <c r="N110" s="7"/>
      <c r="O110" s="7"/>
      <c r="P110" s="7"/>
      <c r="Q110" s="7"/>
      <c r="R110" s="7"/>
      <c r="S110" s="81">
        <f>(Table1438[[#This Row],[Commercial Bid Price per case for NOI ($)]]-Table1438[[#This Row],[Pass-Thru Value per case ($)]])+Table1438[[#This Row],[Region 1: Fixed Fee Per Case ($)]]</f>
        <v>0</v>
      </c>
      <c r="T110" s="77" t="e">
        <f>(Table1438[[#This Row],[Commercial Bid Price per case for NOI ($)]]+Table1438[[#This Row],[Region 1: Fixed Fee Per Case ($)]])/Table1438[[#This Row],['# of CN Servings per case]]</f>
        <v>#DIV/0!</v>
      </c>
      <c r="U110" s="77" t="e">
        <f>Table1438[[#This Row],[Total Cost Per Serving (O+P)/J]]*Table1438[[#This Row],[Estimated Servings Annual]]</f>
        <v>#DIV/0!</v>
      </c>
      <c r="V110" s="81">
        <f>(Table1438[[#This Row],[Commercial Bid Price per case for NOI ($)]]-Table1438[[#This Row],[Pass-Thru Value per case ($)]])+Table1438[[#This Row],[Region 2: Fixed Fee Per Case ($)]]</f>
        <v>0</v>
      </c>
      <c r="W110" s="77" t="e">
        <f>(Table1438[[#This Row],[Commercial Bid Price per case for NOI ($)]]+Table1438[[#This Row],[Region 2: Fixed Fee Per Case ($)]])/Table1438[[#This Row],['# of CN Servings per case]]</f>
        <v>#DIV/0!</v>
      </c>
      <c r="X110" s="82" t="e">
        <f>Table1438[[#This Row],[Total Cost Per Serving (O+Q)/J]]*Table1438[[#This Row],[Estimated Servings Annual]]</f>
        <v>#DIV/0!</v>
      </c>
    </row>
    <row r="111" spans="1:24" x14ac:dyDescent="0.35">
      <c r="A111" s="30" t="s">
        <v>29</v>
      </c>
      <c r="B111" s="12" t="s">
        <v>147</v>
      </c>
      <c r="C111" s="7" t="s">
        <v>52</v>
      </c>
      <c r="D111" s="7"/>
      <c r="E111" s="7"/>
      <c r="F111" s="7"/>
      <c r="G111" s="7"/>
      <c r="H111" s="7"/>
      <c r="I111" s="7"/>
      <c r="J111" s="7"/>
      <c r="K111" s="16">
        <v>125000</v>
      </c>
      <c r="L111" s="7"/>
      <c r="M111" s="7"/>
      <c r="N111" s="7"/>
      <c r="O111" s="7"/>
      <c r="P111" s="7"/>
      <c r="Q111" s="7"/>
      <c r="R111" s="7"/>
      <c r="S111" s="81">
        <f>(Table1438[[#This Row],[Commercial Bid Price per case for NOI ($)]]-Table1438[[#This Row],[Pass-Thru Value per case ($)]])+Table1438[[#This Row],[Region 1: Fixed Fee Per Case ($)]]</f>
        <v>0</v>
      </c>
      <c r="T111" s="77" t="e">
        <f>(Table1438[[#This Row],[Commercial Bid Price per case for NOI ($)]]+Table1438[[#This Row],[Region 1: Fixed Fee Per Case ($)]])/Table1438[[#This Row],['# of CN Servings per case]]</f>
        <v>#DIV/0!</v>
      </c>
      <c r="U111" s="77" t="e">
        <f>Table1438[[#This Row],[Total Cost Per Serving (O+P)/J]]*Table1438[[#This Row],[Estimated Servings Annual]]</f>
        <v>#DIV/0!</v>
      </c>
      <c r="V111" s="81">
        <f>(Table1438[[#This Row],[Commercial Bid Price per case for NOI ($)]]-Table1438[[#This Row],[Pass-Thru Value per case ($)]])+Table1438[[#This Row],[Region 2: Fixed Fee Per Case ($)]]</f>
        <v>0</v>
      </c>
      <c r="W111" s="77" t="e">
        <f>(Table1438[[#This Row],[Commercial Bid Price per case for NOI ($)]]+Table1438[[#This Row],[Region 2: Fixed Fee Per Case ($)]])/Table1438[[#This Row],['# of CN Servings per case]]</f>
        <v>#DIV/0!</v>
      </c>
      <c r="X111" s="82" t="e">
        <f>Table1438[[#This Row],[Total Cost Per Serving (O+Q)/J]]*Table1438[[#This Row],[Estimated Servings Annual]]</f>
        <v>#DIV/0!</v>
      </c>
    </row>
    <row r="112" spans="1:24" x14ac:dyDescent="0.35">
      <c r="A112" s="30" t="s">
        <v>29</v>
      </c>
      <c r="B112" s="12" t="s">
        <v>147</v>
      </c>
      <c r="C112" s="7" t="s">
        <v>52</v>
      </c>
      <c r="D112" s="7"/>
      <c r="E112" s="7"/>
      <c r="F112" s="7"/>
      <c r="G112" s="7"/>
      <c r="H112" s="7"/>
      <c r="I112" s="7"/>
      <c r="J112" s="7"/>
      <c r="K112" s="16">
        <v>125000</v>
      </c>
      <c r="L112" s="7"/>
      <c r="M112" s="7"/>
      <c r="N112" s="7"/>
      <c r="O112" s="7"/>
      <c r="P112" s="7"/>
      <c r="Q112" s="7"/>
      <c r="R112" s="7"/>
      <c r="S112" s="81">
        <f>(Table1438[[#This Row],[Commercial Bid Price per case for NOI ($)]]-Table1438[[#This Row],[Pass-Thru Value per case ($)]])+Table1438[[#This Row],[Region 1: Fixed Fee Per Case ($)]]</f>
        <v>0</v>
      </c>
      <c r="T112" s="77" t="e">
        <f>(Table1438[[#This Row],[Commercial Bid Price per case for NOI ($)]]+Table1438[[#This Row],[Region 1: Fixed Fee Per Case ($)]])/Table1438[[#This Row],['# of CN Servings per case]]</f>
        <v>#DIV/0!</v>
      </c>
      <c r="U112" s="77" t="e">
        <f>Table1438[[#This Row],[Total Cost Per Serving (O+P)/J]]*Table1438[[#This Row],[Estimated Servings Annual]]</f>
        <v>#DIV/0!</v>
      </c>
      <c r="V112" s="81">
        <f>(Table1438[[#This Row],[Commercial Bid Price per case for NOI ($)]]-Table1438[[#This Row],[Pass-Thru Value per case ($)]])+Table1438[[#This Row],[Region 2: Fixed Fee Per Case ($)]]</f>
        <v>0</v>
      </c>
      <c r="W112" s="77" t="e">
        <f>(Table1438[[#This Row],[Commercial Bid Price per case for NOI ($)]]+Table1438[[#This Row],[Region 2: Fixed Fee Per Case ($)]])/Table1438[[#This Row],['# of CN Servings per case]]</f>
        <v>#DIV/0!</v>
      </c>
      <c r="X112" s="82" t="e">
        <f>Table1438[[#This Row],[Total Cost Per Serving (O+Q)/J]]*Table1438[[#This Row],[Estimated Servings Annual]]</f>
        <v>#DIV/0!</v>
      </c>
    </row>
    <row r="113" spans="1:24" x14ac:dyDescent="0.35">
      <c r="A113" s="30" t="s">
        <v>29</v>
      </c>
      <c r="B113" s="12" t="s">
        <v>147</v>
      </c>
      <c r="C113" s="7" t="s">
        <v>13</v>
      </c>
      <c r="D113" s="7"/>
      <c r="E113" s="7"/>
      <c r="F113" s="7"/>
      <c r="G113" s="7"/>
      <c r="H113" s="7"/>
      <c r="I113" s="7"/>
      <c r="J113" s="7"/>
      <c r="K113" s="16">
        <v>125000</v>
      </c>
      <c r="L113" s="7"/>
      <c r="M113" s="7"/>
      <c r="N113" s="7"/>
      <c r="O113" s="7"/>
      <c r="P113" s="7"/>
      <c r="Q113" s="7"/>
      <c r="R113" s="7"/>
      <c r="S113" s="81">
        <f>(Table1438[[#This Row],[Commercial Bid Price per case for NOI ($)]]-Table1438[[#This Row],[Pass-Thru Value per case ($)]])+Table1438[[#This Row],[Region 1: Fixed Fee Per Case ($)]]</f>
        <v>0</v>
      </c>
      <c r="T113" s="77" t="e">
        <f>(Table1438[[#This Row],[Commercial Bid Price per case for NOI ($)]]+Table1438[[#This Row],[Region 1: Fixed Fee Per Case ($)]])/Table1438[[#This Row],['# of CN Servings per case]]</f>
        <v>#DIV/0!</v>
      </c>
      <c r="U113" s="77" t="e">
        <f>Table1438[[#This Row],[Total Cost Per Serving (O+P)/J]]*Table1438[[#This Row],[Estimated Servings Annual]]</f>
        <v>#DIV/0!</v>
      </c>
      <c r="V113" s="81">
        <f>(Table1438[[#This Row],[Commercial Bid Price per case for NOI ($)]]-Table1438[[#This Row],[Pass-Thru Value per case ($)]])+Table1438[[#This Row],[Region 2: Fixed Fee Per Case ($)]]</f>
        <v>0</v>
      </c>
      <c r="W113" s="77" t="e">
        <f>(Table1438[[#This Row],[Commercial Bid Price per case for NOI ($)]]+Table1438[[#This Row],[Region 2: Fixed Fee Per Case ($)]])/Table1438[[#This Row],['# of CN Servings per case]]</f>
        <v>#DIV/0!</v>
      </c>
      <c r="X113" s="82" t="e">
        <f>Table1438[[#This Row],[Total Cost Per Serving (O+Q)/J]]*Table1438[[#This Row],[Estimated Servings Annual]]</f>
        <v>#DIV/0!</v>
      </c>
    </row>
    <row r="114" spans="1:24" ht="15" thickBot="1" x14ac:dyDescent="0.4">
      <c r="A114" s="36" t="s">
        <v>29</v>
      </c>
      <c r="B114" s="13" t="s">
        <v>147</v>
      </c>
      <c r="C114" s="8" t="s">
        <v>13</v>
      </c>
      <c r="D114" s="8"/>
      <c r="E114" s="8"/>
      <c r="F114" s="8"/>
      <c r="G114" s="8"/>
      <c r="H114" s="8"/>
      <c r="I114" s="8"/>
      <c r="J114" s="8"/>
      <c r="K114" s="17">
        <v>125000</v>
      </c>
      <c r="L114" s="8"/>
      <c r="M114" s="8"/>
      <c r="N114" s="8"/>
      <c r="O114" s="8"/>
      <c r="P114" s="8"/>
      <c r="Q114" s="8"/>
      <c r="R114" s="8"/>
      <c r="S114" s="83">
        <f>(Table1438[[#This Row],[Commercial Bid Price per case for NOI ($)]]-Table1438[[#This Row],[Pass-Thru Value per case ($)]])+Table1438[[#This Row],[Region 1: Fixed Fee Per Case ($)]]</f>
        <v>0</v>
      </c>
      <c r="T114" s="78" t="e">
        <f>(Table1438[[#This Row],[Commercial Bid Price per case for NOI ($)]]+Table1438[[#This Row],[Region 1: Fixed Fee Per Case ($)]])/Table1438[[#This Row],['# of CN Servings per case]]</f>
        <v>#DIV/0!</v>
      </c>
      <c r="U114" s="78" t="e">
        <f>Table1438[[#This Row],[Total Cost Per Serving (O+P)/J]]*Table1438[[#This Row],[Estimated Servings Annual]]</f>
        <v>#DIV/0!</v>
      </c>
      <c r="V114" s="83">
        <f>(Table1438[[#This Row],[Commercial Bid Price per case for NOI ($)]]-Table1438[[#This Row],[Pass-Thru Value per case ($)]])+Table1438[[#This Row],[Region 2: Fixed Fee Per Case ($)]]</f>
        <v>0</v>
      </c>
      <c r="W114" s="78" t="e">
        <f>(Table1438[[#This Row],[Commercial Bid Price per case for NOI ($)]]+Table1438[[#This Row],[Region 2: Fixed Fee Per Case ($)]])/Table1438[[#This Row],['# of CN Servings per case]]</f>
        <v>#DIV/0!</v>
      </c>
      <c r="X114" s="84" t="e">
        <f>Table1438[[#This Row],[Total Cost Per Serving (O+Q)/J]]*Table1438[[#This Row],[Estimated Servings Annual]]</f>
        <v>#DIV/0!</v>
      </c>
    </row>
  </sheetData>
  <sheetProtection algorithmName="SHA-512" hashValue="5MyfyTTTCVIEYznNHMaepUkgZVu2Tn7mag2RFT7bBHCKejuAfujdQiO2SvuQOon84/L9s9ooMV9eDJSOEZy+mg==" saltValue="fzp7kOF4GCjkP/5m3j05HA==" spinCount="100000" sheet="1" objects="1" scenarios="1" formatCells="0" formatColumns="0"/>
  <mergeCells count="3">
    <mergeCell ref="E1:G1"/>
    <mergeCell ref="S1:U1"/>
    <mergeCell ref="V1:X1"/>
  </mergeCell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1FD7C-D52E-4E43-90EA-5084B2BC9990}">
  <sheetPr codeName="Sheet9"/>
  <dimension ref="A1:X58"/>
  <sheetViews>
    <sheetView workbookViewId="0">
      <pane xSplit="3" ySplit="2" topLeftCell="D3" activePane="bottomRight" state="frozen"/>
      <selection activeCell="A24" sqref="A24"/>
      <selection pane="topRight" activeCell="A24" sqref="A24"/>
      <selection pane="bottomLeft" activeCell="A24" sqref="A24"/>
      <selection pane="bottomRight" activeCell="A24" sqref="A24"/>
    </sheetView>
  </sheetViews>
  <sheetFormatPr defaultColWidth="11" defaultRowHeight="14.5" x14ac:dyDescent="0.35"/>
  <cols>
    <col min="1" max="1" width="10.7265625" style="9" customWidth="1"/>
    <col min="2" max="2" width="26" style="9" bestFit="1" customWidth="1"/>
    <col min="3" max="3" width="18.6328125" style="9" bestFit="1" customWidth="1"/>
    <col min="4" max="4" width="20.81640625" style="9" bestFit="1" customWidth="1"/>
    <col min="5" max="5" width="26.26953125" style="9" bestFit="1" customWidth="1"/>
    <col min="6" max="6" width="12.90625" style="9" bestFit="1" customWidth="1"/>
    <col min="7" max="7" width="15" style="9" bestFit="1" customWidth="1"/>
    <col min="8" max="8" width="14.54296875" style="9" bestFit="1" customWidth="1"/>
    <col min="9" max="9" width="9.54296875" style="9" bestFit="1" customWidth="1"/>
    <col min="10" max="10" width="13.6328125" style="63" bestFit="1" customWidth="1"/>
    <col min="11" max="11" width="11.7265625" style="9" bestFit="1" customWidth="1"/>
    <col min="12" max="12" width="10.453125" style="9" bestFit="1" customWidth="1"/>
    <col min="13" max="13" width="14.26953125" style="9" bestFit="1" customWidth="1"/>
    <col min="14" max="14" width="11.453125" style="9" bestFit="1" customWidth="1"/>
    <col min="15" max="15" width="17.81640625" style="9" bestFit="1" customWidth="1"/>
    <col min="16" max="17" width="16.90625" style="9" bestFit="1" customWidth="1"/>
    <col min="18" max="18" width="14.54296875" style="9" bestFit="1" customWidth="1"/>
    <col min="19" max="19" width="14.1796875" style="9" bestFit="1" customWidth="1"/>
    <col min="20" max="20" width="16.36328125" style="9" bestFit="1" customWidth="1"/>
    <col min="21" max="21" width="11.54296875" style="9" bestFit="1" customWidth="1"/>
    <col min="22" max="22" width="14.1796875" style="9" bestFit="1" customWidth="1"/>
    <col min="23" max="23" width="16.6328125" style="9" bestFit="1" customWidth="1"/>
    <col min="24" max="24" width="11.54296875" style="9" bestFit="1" customWidth="1"/>
    <col min="25" max="16384" width="11" style="9"/>
  </cols>
  <sheetData>
    <row r="1" spans="1:24" x14ac:dyDescent="0.35">
      <c r="D1" s="10" t="s">
        <v>63</v>
      </c>
      <c r="E1" s="97">
        <f>Instructions!A2</f>
        <v>0</v>
      </c>
      <c r="F1" s="97"/>
      <c r="G1" s="97"/>
      <c r="S1" s="98" t="s">
        <v>72</v>
      </c>
      <c r="T1" s="99"/>
      <c r="U1" s="100"/>
      <c r="V1" s="101" t="s">
        <v>73</v>
      </c>
      <c r="W1" s="102"/>
      <c r="X1" s="102"/>
    </row>
    <row r="2" spans="1:24" s="10" customFormat="1" ht="58.5" thickBot="1" x14ac:dyDescent="0.4">
      <c r="A2" s="10" t="s">
        <v>14</v>
      </c>
      <c r="B2" s="10" t="s">
        <v>3</v>
      </c>
      <c r="C2" s="10" t="s">
        <v>23</v>
      </c>
      <c r="D2" s="10" t="s">
        <v>66</v>
      </c>
      <c r="E2" s="10" t="s">
        <v>182</v>
      </c>
      <c r="F2" s="10" t="s">
        <v>0</v>
      </c>
      <c r="G2" s="10" t="s">
        <v>4</v>
      </c>
      <c r="H2" s="10" t="s">
        <v>20</v>
      </c>
      <c r="I2" s="10" t="s">
        <v>1</v>
      </c>
      <c r="J2" s="10" t="s">
        <v>5</v>
      </c>
      <c r="K2" s="18" t="s">
        <v>6</v>
      </c>
      <c r="L2" s="10" t="s">
        <v>2</v>
      </c>
      <c r="M2" s="10" t="s">
        <v>21</v>
      </c>
      <c r="N2" s="10" t="s">
        <v>65</v>
      </c>
      <c r="O2" s="10" t="s">
        <v>22</v>
      </c>
      <c r="P2" s="10" t="s">
        <v>70</v>
      </c>
      <c r="Q2" s="10" t="s">
        <v>71</v>
      </c>
      <c r="R2" s="10" t="s">
        <v>19</v>
      </c>
      <c r="S2" s="64" t="s">
        <v>77</v>
      </c>
      <c r="T2" s="65" t="s">
        <v>79</v>
      </c>
      <c r="U2" s="66" t="s">
        <v>80</v>
      </c>
      <c r="V2" s="64" t="s">
        <v>78</v>
      </c>
      <c r="W2" s="65" t="s">
        <v>81</v>
      </c>
      <c r="X2" s="66" t="s">
        <v>82</v>
      </c>
    </row>
    <row r="3" spans="1:24" x14ac:dyDescent="0.35">
      <c r="A3" s="29" t="s">
        <v>35</v>
      </c>
      <c r="B3" s="42" t="s">
        <v>149</v>
      </c>
      <c r="C3" s="6" t="s">
        <v>26</v>
      </c>
      <c r="D3" s="6"/>
      <c r="E3" s="6"/>
      <c r="F3" s="6"/>
      <c r="G3" s="6"/>
      <c r="H3" s="6"/>
      <c r="I3" s="6"/>
      <c r="J3" s="6"/>
      <c r="K3" s="48">
        <v>600000</v>
      </c>
      <c r="L3" s="6"/>
      <c r="M3" s="6"/>
      <c r="N3" s="6"/>
      <c r="O3" s="6"/>
      <c r="P3" s="6"/>
      <c r="Q3" s="6"/>
      <c r="R3" s="6"/>
      <c r="S3" s="67">
        <f>(Table14389[[#This Row],[Commercial Bid Price per case for NOI ($)]]-Table14389[[#This Row],[Pass-Thru Value per case ($)]])+Table14389[[#This Row],[Region 1: Fixed Fee Per Case ($)]]</f>
        <v>0</v>
      </c>
      <c r="T3" s="68" t="e">
        <f>(Table14389[[#This Row],[Commercial Bid Price per case for NOI ($)]]+Table14389[[#This Row],[Region 1: Fixed Fee Per Case ($)]])/Table14389[[#This Row],['# of CN Servings per case]]</f>
        <v>#DIV/0!</v>
      </c>
      <c r="U3" s="68" t="e">
        <f>Table14389[[#This Row],[Total Cost Per Serving (O+P)/J]]*Table14389[[#This Row],[Estimated Servings Annual]]</f>
        <v>#DIV/0!</v>
      </c>
      <c r="V3" s="67">
        <f>(Table14389[[#This Row],[Commercial Bid Price per case for NOI ($)]]-Table14389[[#This Row],[Pass-Thru Value per case ($)]])+Table14389[[#This Row],[Region 2: Fixed Fee Per Case ($)]]</f>
        <v>0</v>
      </c>
      <c r="W3" s="68" t="e">
        <f>(Table14389[[#This Row],[Commercial Bid Price per case for NOI ($)]]+Table14389[[#This Row],[Region 2: Fixed Fee Per Case ($)]])/Table14389[[#This Row],['# of CN Servings per case]]</f>
        <v>#DIV/0!</v>
      </c>
      <c r="X3" s="69" t="e">
        <f>Table14389[[#This Row],[Total Cost Per Serving (O+Q)/J]]*Table14389[[#This Row],[Estimated Servings Annual]]</f>
        <v>#DIV/0!</v>
      </c>
    </row>
    <row r="4" spans="1:24" x14ac:dyDescent="0.35">
      <c r="A4" s="30" t="s">
        <v>35</v>
      </c>
      <c r="B4" s="28" t="s">
        <v>149</v>
      </c>
      <c r="C4" s="7" t="s">
        <v>26</v>
      </c>
      <c r="D4" s="7"/>
      <c r="E4" s="7"/>
      <c r="F4" s="7"/>
      <c r="G4" s="7"/>
      <c r="H4" s="7"/>
      <c r="I4" s="7"/>
      <c r="J4" s="7"/>
      <c r="K4" s="49">
        <v>600000</v>
      </c>
      <c r="L4" s="7"/>
      <c r="M4" s="7"/>
      <c r="N4" s="7"/>
      <c r="O4" s="7"/>
      <c r="P4" s="7"/>
      <c r="Q4" s="7"/>
      <c r="R4" s="7"/>
      <c r="S4" s="70">
        <f>(Table14389[[#This Row],[Commercial Bid Price per case for NOI ($)]]-Table14389[[#This Row],[Pass-Thru Value per case ($)]])+Table14389[[#This Row],[Region 1: Fixed Fee Per Case ($)]]</f>
        <v>0</v>
      </c>
      <c r="T4" s="71" t="e">
        <f>(Table14389[[#This Row],[Commercial Bid Price per case for NOI ($)]]+Table14389[[#This Row],[Region 1: Fixed Fee Per Case ($)]])/Table14389[[#This Row],['# of CN Servings per case]]</f>
        <v>#DIV/0!</v>
      </c>
      <c r="U4" s="71" t="e">
        <f>Table14389[[#This Row],[Total Cost Per Serving (O+P)/J]]*Table14389[[#This Row],[Estimated Servings Annual]]</f>
        <v>#DIV/0!</v>
      </c>
      <c r="V4" s="70">
        <f>(Table14389[[#This Row],[Commercial Bid Price per case for NOI ($)]]-Table14389[[#This Row],[Pass-Thru Value per case ($)]])+Table14389[[#This Row],[Region 2: Fixed Fee Per Case ($)]]</f>
        <v>0</v>
      </c>
      <c r="W4" s="71" t="e">
        <f>(Table14389[[#This Row],[Commercial Bid Price per case for NOI ($)]]+Table14389[[#This Row],[Region 2: Fixed Fee Per Case ($)]])/Table14389[[#This Row],['# of CN Servings per case]]</f>
        <v>#DIV/0!</v>
      </c>
      <c r="X4" s="72" t="e">
        <f>Table14389[[#This Row],[Total Cost Per Serving (O+Q)/J]]*Table14389[[#This Row],[Estimated Servings Annual]]</f>
        <v>#DIV/0!</v>
      </c>
    </row>
    <row r="5" spans="1:24" x14ac:dyDescent="0.35">
      <c r="A5" s="30" t="s">
        <v>35</v>
      </c>
      <c r="B5" s="28" t="s">
        <v>149</v>
      </c>
      <c r="C5" s="7" t="s">
        <v>24</v>
      </c>
      <c r="D5" s="7"/>
      <c r="E5" s="7"/>
      <c r="F5" s="7"/>
      <c r="G5" s="7"/>
      <c r="H5" s="7"/>
      <c r="I5" s="7"/>
      <c r="J5" s="7"/>
      <c r="K5" s="49">
        <v>600000</v>
      </c>
      <c r="L5" s="7"/>
      <c r="M5" s="7"/>
      <c r="N5" s="7"/>
      <c r="O5" s="7"/>
      <c r="P5" s="7"/>
      <c r="Q5" s="7"/>
      <c r="R5" s="7"/>
      <c r="S5" s="70">
        <f>(Table14389[[#This Row],[Commercial Bid Price per case for NOI ($)]]-Table14389[[#This Row],[Pass-Thru Value per case ($)]])+Table14389[[#This Row],[Region 1: Fixed Fee Per Case ($)]]</f>
        <v>0</v>
      </c>
      <c r="T5" s="71" t="e">
        <f>(Table14389[[#This Row],[Commercial Bid Price per case for NOI ($)]]+Table14389[[#This Row],[Region 1: Fixed Fee Per Case ($)]])/Table14389[[#This Row],['# of CN Servings per case]]</f>
        <v>#DIV/0!</v>
      </c>
      <c r="U5" s="71" t="e">
        <f>Table14389[[#This Row],[Total Cost Per Serving (O+P)/J]]*Table14389[[#This Row],[Estimated Servings Annual]]</f>
        <v>#DIV/0!</v>
      </c>
      <c r="V5" s="70">
        <f>(Table14389[[#This Row],[Commercial Bid Price per case for NOI ($)]]-Table14389[[#This Row],[Pass-Thru Value per case ($)]])+Table14389[[#This Row],[Region 2: Fixed Fee Per Case ($)]]</f>
        <v>0</v>
      </c>
      <c r="W5" s="71" t="e">
        <f>(Table14389[[#This Row],[Commercial Bid Price per case for NOI ($)]]+Table14389[[#This Row],[Region 2: Fixed Fee Per Case ($)]])/Table14389[[#This Row],['# of CN Servings per case]]</f>
        <v>#DIV/0!</v>
      </c>
      <c r="X5" s="72" t="e">
        <f>Table14389[[#This Row],[Total Cost Per Serving (O+Q)/J]]*Table14389[[#This Row],[Estimated Servings Annual]]</f>
        <v>#DIV/0!</v>
      </c>
    </row>
    <row r="6" spans="1:24" x14ac:dyDescent="0.35">
      <c r="A6" s="30" t="s">
        <v>35</v>
      </c>
      <c r="B6" s="28" t="s">
        <v>149</v>
      </c>
      <c r="C6" s="7" t="s">
        <v>24</v>
      </c>
      <c r="D6" s="7"/>
      <c r="E6" s="7"/>
      <c r="F6" s="7"/>
      <c r="G6" s="7"/>
      <c r="H6" s="7"/>
      <c r="I6" s="7"/>
      <c r="J6" s="7"/>
      <c r="K6" s="49">
        <v>600000</v>
      </c>
      <c r="L6" s="7"/>
      <c r="M6" s="7"/>
      <c r="N6" s="7"/>
      <c r="O6" s="7"/>
      <c r="P6" s="7"/>
      <c r="Q6" s="7"/>
      <c r="R6" s="7"/>
      <c r="S6" s="70">
        <f>(Table14389[[#This Row],[Commercial Bid Price per case for NOI ($)]]-Table14389[[#This Row],[Pass-Thru Value per case ($)]])+Table14389[[#This Row],[Region 1: Fixed Fee Per Case ($)]]</f>
        <v>0</v>
      </c>
      <c r="T6" s="71" t="e">
        <f>(Table14389[[#This Row],[Commercial Bid Price per case for NOI ($)]]+Table14389[[#This Row],[Region 1: Fixed Fee Per Case ($)]])/Table14389[[#This Row],['# of CN Servings per case]]</f>
        <v>#DIV/0!</v>
      </c>
      <c r="U6" s="71" t="e">
        <f>Table14389[[#This Row],[Total Cost Per Serving (O+P)/J]]*Table14389[[#This Row],[Estimated Servings Annual]]</f>
        <v>#DIV/0!</v>
      </c>
      <c r="V6" s="70">
        <f>(Table14389[[#This Row],[Commercial Bid Price per case for NOI ($)]]-Table14389[[#This Row],[Pass-Thru Value per case ($)]])+Table14389[[#This Row],[Region 2: Fixed Fee Per Case ($)]]</f>
        <v>0</v>
      </c>
      <c r="W6" s="71" t="e">
        <f>(Table14389[[#This Row],[Commercial Bid Price per case for NOI ($)]]+Table14389[[#This Row],[Region 2: Fixed Fee Per Case ($)]])/Table14389[[#This Row],['# of CN Servings per case]]</f>
        <v>#DIV/0!</v>
      </c>
      <c r="X6" s="72" t="e">
        <f>Table14389[[#This Row],[Total Cost Per Serving (O+Q)/J]]*Table14389[[#This Row],[Estimated Servings Annual]]</f>
        <v>#DIV/0!</v>
      </c>
    </row>
    <row r="7" spans="1:24" x14ac:dyDescent="0.35">
      <c r="A7" s="30" t="s">
        <v>35</v>
      </c>
      <c r="B7" s="28" t="s">
        <v>149</v>
      </c>
      <c r="C7" s="7" t="s">
        <v>13</v>
      </c>
      <c r="D7" s="7"/>
      <c r="E7" s="7"/>
      <c r="F7" s="7"/>
      <c r="G7" s="7"/>
      <c r="H7" s="7"/>
      <c r="I7" s="7"/>
      <c r="J7" s="7"/>
      <c r="K7" s="49">
        <v>600000</v>
      </c>
      <c r="L7" s="7"/>
      <c r="M7" s="7"/>
      <c r="N7" s="7"/>
      <c r="O7" s="7"/>
      <c r="P7" s="7"/>
      <c r="Q7" s="7"/>
      <c r="R7" s="7"/>
      <c r="S7" s="70">
        <f>(Table14389[[#This Row],[Commercial Bid Price per case for NOI ($)]]-Table14389[[#This Row],[Pass-Thru Value per case ($)]])+Table14389[[#This Row],[Region 1: Fixed Fee Per Case ($)]]</f>
        <v>0</v>
      </c>
      <c r="T7" s="71" t="e">
        <f>(Table14389[[#This Row],[Commercial Bid Price per case for NOI ($)]]+Table14389[[#This Row],[Region 1: Fixed Fee Per Case ($)]])/Table14389[[#This Row],['# of CN Servings per case]]</f>
        <v>#DIV/0!</v>
      </c>
      <c r="U7" s="71" t="e">
        <f>Table14389[[#This Row],[Total Cost Per Serving (O+P)/J]]*Table14389[[#This Row],[Estimated Servings Annual]]</f>
        <v>#DIV/0!</v>
      </c>
      <c r="V7" s="70">
        <f>(Table14389[[#This Row],[Commercial Bid Price per case for NOI ($)]]-Table14389[[#This Row],[Pass-Thru Value per case ($)]])+Table14389[[#This Row],[Region 2: Fixed Fee Per Case ($)]]</f>
        <v>0</v>
      </c>
      <c r="W7" s="71" t="e">
        <f>(Table14389[[#This Row],[Commercial Bid Price per case for NOI ($)]]+Table14389[[#This Row],[Region 2: Fixed Fee Per Case ($)]])/Table14389[[#This Row],['# of CN Servings per case]]</f>
        <v>#DIV/0!</v>
      </c>
      <c r="X7" s="72" t="e">
        <f>Table14389[[#This Row],[Total Cost Per Serving (O+Q)/J]]*Table14389[[#This Row],[Estimated Servings Annual]]</f>
        <v>#DIV/0!</v>
      </c>
    </row>
    <row r="8" spans="1:24" x14ac:dyDescent="0.35">
      <c r="A8" s="30" t="s">
        <v>35</v>
      </c>
      <c r="B8" s="28" t="s">
        <v>149</v>
      </c>
      <c r="C8" s="7" t="s">
        <v>13</v>
      </c>
      <c r="D8" s="7"/>
      <c r="E8" s="7"/>
      <c r="F8" s="7"/>
      <c r="G8" s="7"/>
      <c r="H8" s="7"/>
      <c r="I8" s="7"/>
      <c r="J8" s="7"/>
      <c r="K8" s="49">
        <v>600000</v>
      </c>
      <c r="L8" s="7"/>
      <c r="M8" s="7"/>
      <c r="N8" s="7"/>
      <c r="O8" s="7"/>
      <c r="P8" s="7"/>
      <c r="Q8" s="7"/>
      <c r="R8" s="7"/>
      <c r="S8" s="70">
        <f>(Table14389[[#This Row],[Commercial Bid Price per case for NOI ($)]]-Table14389[[#This Row],[Pass-Thru Value per case ($)]])+Table14389[[#This Row],[Region 1: Fixed Fee Per Case ($)]]</f>
        <v>0</v>
      </c>
      <c r="T8" s="71" t="e">
        <f>(Table14389[[#This Row],[Commercial Bid Price per case for NOI ($)]]+Table14389[[#This Row],[Region 1: Fixed Fee Per Case ($)]])/Table14389[[#This Row],['# of CN Servings per case]]</f>
        <v>#DIV/0!</v>
      </c>
      <c r="U8" s="71" t="e">
        <f>Table14389[[#This Row],[Total Cost Per Serving (O+P)/J]]*Table14389[[#This Row],[Estimated Servings Annual]]</f>
        <v>#DIV/0!</v>
      </c>
      <c r="V8" s="70">
        <f>(Table14389[[#This Row],[Commercial Bid Price per case for NOI ($)]]-Table14389[[#This Row],[Pass-Thru Value per case ($)]])+Table14389[[#This Row],[Region 2: Fixed Fee Per Case ($)]]</f>
        <v>0</v>
      </c>
      <c r="W8" s="71" t="e">
        <f>(Table14389[[#This Row],[Commercial Bid Price per case for NOI ($)]]+Table14389[[#This Row],[Region 2: Fixed Fee Per Case ($)]])/Table14389[[#This Row],['# of CN Servings per case]]</f>
        <v>#DIV/0!</v>
      </c>
      <c r="X8" s="72" t="e">
        <f>Table14389[[#This Row],[Total Cost Per Serving (O+Q)/J]]*Table14389[[#This Row],[Estimated Servings Annual]]</f>
        <v>#DIV/0!</v>
      </c>
    </row>
    <row r="9" spans="1:24" x14ac:dyDescent="0.35">
      <c r="A9" s="30" t="s">
        <v>35</v>
      </c>
      <c r="B9" s="28" t="s">
        <v>149</v>
      </c>
      <c r="C9" s="7" t="s">
        <v>13</v>
      </c>
      <c r="D9" s="7"/>
      <c r="E9" s="7"/>
      <c r="F9" s="7"/>
      <c r="G9" s="7"/>
      <c r="H9" s="7"/>
      <c r="I9" s="7"/>
      <c r="J9" s="7"/>
      <c r="K9" s="49">
        <v>600000</v>
      </c>
      <c r="L9" s="7"/>
      <c r="M9" s="7"/>
      <c r="N9" s="7"/>
      <c r="O9" s="7"/>
      <c r="P9" s="7"/>
      <c r="Q9" s="7"/>
      <c r="R9" s="7"/>
      <c r="S9" s="70">
        <f>(Table14389[[#This Row],[Commercial Bid Price per case for NOI ($)]]-Table14389[[#This Row],[Pass-Thru Value per case ($)]])+Table14389[[#This Row],[Region 1: Fixed Fee Per Case ($)]]</f>
        <v>0</v>
      </c>
      <c r="T9" s="71" t="e">
        <f>(Table14389[[#This Row],[Commercial Bid Price per case for NOI ($)]]+Table14389[[#This Row],[Region 1: Fixed Fee Per Case ($)]])/Table14389[[#This Row],['# of CN Servings per case]]</f>
        <v>#DIV/0!</v>
      </c>
      <c r="U9" s="71" t="e">
        <f>Table14389[[#This Row],[Total Cost Per Serving (O+P)/J]]*Table14389[[#This Row],[Estimated Servings Annual]]</f>
        <v>#DIV/0!</v>
      </c>
      <c r="V9" s="70">
        <f>(Table14389[[#This Row],[Commercial Bid Price per case for NOI ($)]]-Table14389[[#This Row],[Pass-Thru Value per case ($)]])+Table14389[[#This Row],[Region 2: Fixed Fee Per Case ($)]]</f>
        <v>0</v>
      </c>
      <c r="W9" s="71" t="e">
        <f>(Table14389[[#This Row],[Commercial Bid Price per case for NOI ($)]]+Table14389[[#This Row],[Region 2: Fixed Fee Per Case ($)]])/Table14389[[#This Row],['# of CN Servings per case]]</f>
        <v>#DIV/0!</v>
      </c>
      <c r="X9" s="72" t="e">
        <f>Table14389[[#This Row],[Total Cost Per Serving (O+Q)/J]]*Table14389[[#This Row],[Estimated Servings Annual]]</f>
        <v>#DIV/0!</v>
      </c>
    </row>
    <row r="10" spans="1:24" ht="15" thickBot="1" x14ac:dyDescent="0.4">
      <c r="A10" s="30" t="s">
        <v>35</v>
      </c>
      <c r="B10" s="28" t="s">
        <v>149</v>
      </c>
      <c r="C10" s="8" t="s">
        <v>13</v>
      </c>
      <c r="D10" s="8"/>
      <c r="E10" s="8"/>
      <c r="F10" s="8"/>
      <c r="G10" s="8"/>
      <c r="H10" s="8"/>
      <c r="I10" s="8"/>
      <c r="J10" s="8"/>
      <c r="K10" s="50">
        <v>600000</v>
      </c>
      <c r="L10" s="8"/>
      <c r="M10" s="8"/>
      <c r="N10" s="8"/>
      <c r="O10" s="8"/>
      <c r="P10" s="8"/>
      <c r="Q10" s="8"/>
      <c r="R10" s="8"/>
      <c r="S10" s="73">
        <f>(Table14389[[#This Row],[Commercial Bid Price per case for NOI ($)]]-Table14389[[#This Row],[Pass-Thru Value per case ($)]])+Table14389[[#This Row],[Region 1: Fixed Fee Per Case ($)]]</f>
        <v>0</v>
      </c>
      <c r="T10" s="74" t="e">
        <f>(Table14389[[#This Row],[Commercial Bid Price per case for NOI ($)]]+Table14389[[#This Row],[Region 1: Fixed Fee Per Case ($)]])/Table14389[[#This Row],['# of CN Servings per case]]</f>
        <v>#DIV/0!</v>
      </c>
      <c r="U10" s="74" t="e">
        <f>Table14389[[#This Row],[Total Cost Per Serving (O+P)/J]]*Table14389[[#This Row],[Estimated Servings Annual]]</f>
        <v>#DIV/0!</v>
      </c>
      <c r="V10" s="73">
        <f>(Table14389[[#This Row],[Commercial Bid Price per case for NOI ($)]]-Table14389[[#This Row],[Pass-Thru Value per case ($)]])+Table14389[[#This Row],[Region 2: Fixed Fee Per Case ($)]]</f>
        <v>0</v>
      </c>
      <c r="W10" s="74" t="e">
        <f>(Table14389[[#This Row],[Commercial Bid Price per case for NOI ($)]]+Table14389[[#This Row],[Region 2: Fixed Fee Per Case ($)]])/Table14389[[#This Row],['# of CN Servings per case]]</f>
        <v>#DIV/0!</v>
      </c>
      <c r="X10" s="75" t="e">
        <f>Table14389[[#This Row],[Total Cost Per Serving (O+Q)/J]]*Table14389[[#This Row],[Estimated Servings Annual]]</f>
        <v>#DIV/0!</v>
      </c>
    </row>
    <row r="11" spans="1:24" x14ac:dyDescent="0.35">
      <c r="A11" s="30" t="s">
        <v>35</v>
      </c>
      <c r="B11" s="42" t="s">
        <v>150</v>
      </c>
      <c r="C11" s="6" t="s">
        <v>26</v>
      </c>
      <c r="D11" s="6"/>
      <c r="E11" s="6"/>
      <c r="F11" s="6"/>
      <c r="G11" s="6"/>
      <c r="H11" s="6"/>
      <c r="I11" s="6"/>
      <c r="J11" s="6"/>
      <c r="K11" s="48">
        <v>500000</v>
      </c>
      <c r="L11" s="6"/>
      <c r="M11" s="6"/>
      <c r="N11" s="6"/>
      <c r="O11" s="6"/>
      <c r="P11" s="6"/>
      <c r="Q11" s="6"/>
      <c r="R11" s="6"/>
      <c r="S11" s="67">
        <f>(Table14389[[#This Row],[Commercial Bid Price per case for NOI ($)]]-Table14389[[#This Row],[Pass-Thru Value per case ($)]])+Table14389[[#This Row],[Region 1: Fixed Fee Per Case ($)]]</f>
        <v>0</v>
      </c>
      <c r="T11" s="68" t="e">
        <f>(Table14389[[#This Row],[Commercial Bid Price per case for NOI ($)]]+Table14389[[#This Row],[Region 1: Fixed Fee Per Case ($)]])/Table14389[[#This Row],['# of CN Servings per case]]</f>
        <v>#DIV/0!</v>
      </c>
      <c r="U11" s="68" t="e">
        <f>Table14389[[#This Row],[Total Cost Per Serving (O+P)/J]]*Table14389[[#This Row],[Estimated Servings Annual]]</f>
        <v>#DIV/0!</v>
      </c>
      <c r="V11" s="67">
        <f>(Table14389[[#This Row],[Commercial Bid Price per case for NOI ($)]]-Table14389[[#This Row],[Pass-Thru Value per case ($)]])+Table14389[[#This Row],[Region 2: Fixed Fee Per Case ($)]]</f>
        <v>0</v>
      </c>
      <c r="W11" s="68" t="e">
        <f>(Table14389[[#This Row],[Commercial Bid Price per case for NOI ($)]]+Table14389[[#This Row],[Region 2: Fixed Fee Per Case ($)]])/Table14389[[#This Row],['# of CN Servings per case]]</f>
        <v>#DIV/0!</v>
      </c>
      <c r="X11" s="69" t="e">
        <f>Table14389[[#This Row],[Total Cost Per Serving (O+Q)/J]]*Table14389[[#This Row],[Estimated Servings Annual]]</f>
        <v>#DIV/0!</v>
      </c>
    </row>
    <row r="12" spans="1:24" x14ac:dyDescent="0.35">
      <c r="A12" s="30" t="s">
        <v>35</v>
      </c>
      <c r="B12" s="28" t="s">
        <v>150</v>
      </c>
      <c r="C12" s="7" t="s">
        <v>26</v>
      </c>
      <c r="D12" s="7"/>
      <c r="E12" s="7"/>
      <c r="F12" s="7"/>
      <c r="G12" s="7"/>
      <c r="H12" s="7"/>
      <c r="I12" s="7"/>
      <c r="J12" s="7"/>
      <c r="K12" s="49">
        <v>500000</v>
      </c>
      <c r="L12" s="7"/>
      <c r="M12" s="7"/>
      <c r="N12" s="7"/>
      <c r="O12" s="7"/>
      <c r="P12" s="7"/>
      <c r="Q12" s="7"/>
      <c r="R12" s="7"/>
      <c r="S12" s="70">
        <f>(Table14389[[#This Row],[Commercial Bid Price per case for NOI ($)]]-Table14389[[#This Row],[Pass-Thru Value per case ($)]])+Table14389[[#This Row],[Region 1: Fixed Fee Per Case ($)]]</f>
        <v>0</v>
      </c>
      <c r="T12" s="71" t="e">
        <f>(Table14389[[#This Row],[Commercial Bid Price per case for NOI ($)]]+Table14389[[#This Row],[Region 1: Fixed Fee Per Case ($)]])/Table14389[[#This Row],['# of CN Servings per case]]</f>
        <v>#DIV/0!</v>
      </c>
      <c r="U12" s="71" t="e">
        <f>Table14389[[#This Row],[Total Cost Per Serving (O+P)/J]]*Table14389[[#This Row],[Estimated Servings Annual]]</f>
        <v>#DIV/0!</v>
      </c>
      <c r="V12" s="70">
        <f>(Table14389[[#This Row],[Commercial Bid Price per case for NOI ($)]]-Table14389[[#This Row],[Pass-Thru Value per case ($)]])+Table14389[[#This Row],[Region 2: Fixed Fee Per Case ($)]]</f>
        <v>0</v>
      </c>
      <c r="W12" s="71" t="e">
        <f>(Table14389[[#This Row],[Commercial Bid Price per case for NOI ($)]]+Table14389[[#This Row],[Region 2: Fixed Fee Per Case ($)]])/Table14389[[#This Row],['# of CN Servings per case]]</f>
        <v>#DIV/0!</v>
      </c>
      <c r="X12" s="72" t="e">
        <f>Table14389[[#This Row],[Total Cost Per Serving (O+Q)/J]]*Table14389[[#This Row],[Estimated Servings Annual]]</f>
        <v>#DIV/0!</v>
      </c>
    </row>
    <row r="13" spans="1:24" x14ac:dyDescent="0.35">
      <c r="A13" s="30" t="s">
        <v>35</v>
      </c>
      <c r="B13" s="28" t="s">
        <v>150</v>
      </c>
      <c r="C13" s="7" t="s">
        <v>24</v>
      </c>
      <c r="D13" s="7"/>
      <c r="E13" s="7"/>
      <c r="F13" s="7"/>
      <c r="G13" s="7"/>
      <c r="H13" s="7"/>
      <c r="I13" s="7"/>
      <c r="J13" s="7"/>
      <c r="K13" s="49">
        <v>500000</v>
      </c>
      <c r="L13" s="7"/>
      <c r="M13" s="7"/>
      <c r="N13" s="7"/>
      <c r="O13" s="7"/>
      <c r="P13" s="7"/>
      <c r="Q13" s="7"/>
      <c r="R13" s="7"/>
      <c r="S13" s="70">
        <f>(Table14389[[#This Row],[Commercial Bid Price per case for NOI ($)]]-Table14389[[#This Row],[Pass-Thru Value per case ($)]])+Table14389[[#This Row],[Region 1: Fixed Fee Per Case ($)]]</f>
        <v>0</v>
      </c>
      <c r="T13" s="71" t="e">
        <f>(Table14389[[#This Row],[Commercial Bid Price per case for NOI ($)]]+Table14389[[#This Row],[Region 1: Fixed Fee Per Case ($)]])/Table14389[[#This Row],['# of CN Servings per case]]</f>
        <v>#DIV/0!</v>
      </c>
      <c r="U13" s="71" t="e">
        <f>Table14389[[#This Row],[Total Cost Per Serving (O+P)/J]]*Table14389[[#This Row],[Estimated Servings Annual]]</f>
        <v>#DIV/0!</v>
      </c>
      <c r="V13" s="70">
        <f>(Table14389[[#This Row],[Commercial Bid Price per case for NOI ($)]]-Table14389[[#This Row],[Pass-Thru Value per case ($)]])+Table14389[[#This Row],[Region 2: Fixed Fee Per Case ($)]]</f>
        <v>0</v>
      </c>
      <c r="W13" s="71" t="e">
        <f>(Table14389[[#This Row],[Commercial Bid Price per case for NOI ($)]]+Table14389[[#This Row],[Region 2: Fixed Fee Per Case ($)]])/Table14389[[#This Row],['# of CN Servings per case]]</f>
        <v>#DIV/0!</v>
      </c>
      <c r="X13" s="72" t="e">
        <f>Table14389[[#This Row],[Total Cost Per Serving (O+Q)/J]]*Table14389[[#This Row],[Estimated Servings Annual]]</f>
        <v>#DIV/0!</v>
      </c>
    </row>
    <row r="14" spans="1:24" x14ac:dyDescent="0.35">
      <c r="A14" s="30" t="s">
        <v>35</v>
      </c>
      <c r="B14" s="28" t="s">
        <v>150</v>
      </c>
      <c r="C14" s="7" t="s">
        <v>24</v>
      </c>
      <c r="D14" s="7"/>
      <c r="E14" s="7"/>
      <c r="F14" s="7"/>
      <c r="G14" s="7"/>
      <c r="H14" s="7"/>
      <c r="I14" s="7"/>
      <c r="J14" s="7"/>
      <c r="K14" s="49">
        <v>500000</v>
      </c>
      <c r="L14" s="7"/>
      <c r="M14" s="7"/>
      <c r="N14" s="7"/>
      <c r="O14" s="7"/>
      <c r="P14" s="7"/>
      <c r="Q14" s="7"/>
      <c r="R14" s="7"/>
      <c r="S14" s="70">
        <f>(Table14389[[#This Row],[Commercial Bid Price per case for NOI ($)]]-Table14389[[#This Row],[Pass-Thru Value per case ($)]])+Table14389[[#This Row],[Region 1: Fixed Fee Per Case ($)]]</f>
        <v>0</v>
      </c>
      <c r="T14" s="71" t="e">
        <f>(Table14389[[#This Row],[Commercial Bid Price per case for NOI ($)]]+Table14389[[#This Row],[Region 1: Fixed Fee Per Case ($)]])/Table14389[[#This Row],['# of CN Servings per case]]</f>
        <v>#DIV/0!</v>
      </c>
      <c r="U14" s="71" t="e">
        <f>Table14389[[#This Row],[Total Cost Per Serving (O+P)/J]]*Table14389[[#This Row],[Estimated Servings Annual]]</f>
        <v>#DIV/0!</v>
      </c>
      <c r="V14" s="70">
        <f>(Table14389[[#This Row],[Commercial Bid Price per case for NOI ($)]]-Table14389[[#This Row],[Pass-Thru Value per case ($)]])+Table14389[[#This Row],[Region 2: Fixed Fee Per Case ($)]]</f>
        <v>0</v>
      </c>
      <c r="W14" s="71" t="e">
        <f>(Table14389[[#This Row],[Commercial Bid Price per case for NOI ($)]]+Table14389[[#This Row],[Region 2: Fixed Fee Per Case ($)]])/Table14389[[#This Row],['# of CN Servings per case]]</f>
        <v>#DIV/0!</v>
      </c>
      <c r="X14" s="72" t="e">
        <f>Table14389[[#This Row],[Total Cost Per Serving (O+Q)/J]]*Table14389[[#This Row],[Estimated Servings Annual]]</f>
        <v>#DIV/0!</v>
      </c>
    </row>
    <row r="15" spans="1:24" x14ac:dyDescent="0.35">
      <c r="A15" s="30" t="s">
        <v>35</v>
      </c>
      <c r="B15" s="28" t="s">
        <v>150</v>
      </c>
      <c r="C15" s="7" t="s">
        <v>13</v>
      </c>
      <c r="D15" s="7"/>
      <c r="E15" s="7"/>
      <c r="F15" s="7"/>
      <c r="G15" s="7"/>
      <c r="H15" s="7"/>
      <c r="I15" s="7"/>
      <c r="J15" s="7"/>
      <c r="K15" s="49">
        <v>500000</v>
      </c>
      <c r="L15" s="7"/>
      <c r="M15" s="7"/>
      <c r="N15" s="7"/>
      <c r="O15" s="7"/>
      <c r="P15" s="7"/>
      <c r="Q15" s="7"/>
      <c r="R15" s="7"/>
      <c r="S15" s="70">
        <f>(Table14389[[#This Row],[Commercial Bid Price per case for NOI ($)]]-Table14389[[#This Row],[Pass-Thru Value per case ($)]])+Table14389[[#This Row],[Region 1: Fixed Fee Per Case ($)]]</f>
        <v>0</v>
      </c>
      <c r="T15" s="71" t="e">
        <f>(Table14389[[#This Row],[Commercial Bid Price per case for NOI ($)]]+Table14389[[#This Row],[Region 1: Fixed Fee Per Case ($)]])/Table14389[[#This Row],['# of CN Servings per case]]</f>
        <v>#DIV/0!</v>
      </c>
      <c r="U15" s="71" t="e">
        <f>Table14389[[#This Row],[Total Cost Per Serving (O+P)/J]]*Table14389[[#This Row],[Estimated Servings Annual]]</f>
        <v>#DIV/0!</v>
      </c>
      <c r="V15" s="70">
        <f>(Table14389[[#This Row],[Commercial Bid Price per case for NOI ($)]]-Table14389[[#This Row],[Pass-Thru Value per case ($)]])+Table14389[[#This Row],[Region 2: Fixed Fee Per Case ($)]]</f>
        <v>0</v>
      </c>
      <c r="W15" s="71" t="e">
        <f>(Table14389[[#This Row],[Commercial Bid Price per case for NOI ($)]]+Table14389[[#This Row],[Region 2: Fixed Fee Per Case ($)]])/Table14389[[#This Row],['# of CN Servings per case]]</f>
        <v>#DIV/0!</v>
      </c>
      <c r="X15" s="72" t="e">
        <f>Table14389[[#This Row],[Total Cost Per Serving (O+Q)/J]]*Table14389[[#This Row],[Estimated Servings Annual]]</f>
        <v>#DIV/0!</v>
      </c>
    </row>
    <row r="16" spans="1:24" x14ac:dyDescent="0.35">
      <c r="A16" s="30" t="s">
        <v>35</v>
      </c>
      <c r="B16" s="28" t="s">
        <v>150</v>
      </c>
      <c r="C16" s="7" t="s">
        <v>13</v>
      </c>
      <c r="D16" s="7"/>
      <c r="E16" s="7"/>
      <c r="F16" s="7"/>
      <c r="G16" s="7"/>
      <c r="H16" s="7"/>
      <c r="I16" s="7"/>
      <c r="J16" s="7"/>
      <c r="K16" s="49">
        <v>500000</v>
      </c>
      <c r="L16" s="7"/>
      <c r="M16" s="7"/>
      <c r="N16" s="7"/>
      <c r="O16" s="7"/>
      <c r="P16" s="7"/>
      <c r="Q16" s="7"/>
      <c r="R16" s="7"/>
      <c r="S16" s="70">
        <f>(Table14389[[#This Row],[Commercial Bid Price per case for NOI ($)]]-Table14389[[#This Row],[Pass-Thru Value per case ($)]])+Table14389[[#This Row],[Region 1: Fixed Fee Per Case ($)]]</f>
        <v>0</v>
      </c>
      <c r="T16" s="71" t="e">
        <f>(Table14389[[#This Row],[Commercial Bid Price per case for NOI ($)]]+Table14389[[#This Row],[Region 1: Fixed Fee Per Case ($)]])/Table14389[[#This Row],['# of CN Servings per case]]</f>
        <v>#DIV/0!</v>
      </c>
      <c r="U16" s="71" t="e">
        <f>Table14389[[#This Row],[Total Cost Per Serving (O+P)/J]]*Table14389[[#This Row],[Estimated Servings Annual]]</f>
        <v>#DIV/0!</v>
      </c>
      <c r="V16" s="70">
        <f>(Table14389[[#This Row],[Commercial Bid Price per case for NOI ($)]]-Table14389[[#This Row],[Pass-Thru Value per case ($)]])+Table14389[[#This Row],[Region 2: Fixed Fee Per Case ($)]]</f>
        <v>0</v>
      </c>
      <c r="W16" s="71" t="e">
        <f>(Table14389[[#This Row],[Commercial Bid Price per case for NOI ($)]]+Table14389[[#This Row],[Region 2: Fixed Fee Per Case ($)]])/Table14389[[#This Row],['# of CN Servings per case]]</f>
        <v>#DIV/0!</v>
      </c>
      <c r="X16" s="72" t="e">
        <f>Table14389[[#This Row],[Total Cost Per Serving (O+Q)/J]]*Table14389[[#This Row],[Estimated Servings Annual]]</f>
        <v>#DIV/0!</v>
      </c>
    </row>
    <row r="17" spans="1:24" x14ac:dyDescent="0.35">
      <c r="A17" s="30" t="s">
        <v>35</v>
      </c>
      <c r="B17" s="28" t="s">
        <v>150</v>
      </c>
      <c r="C17" s="7" t="s">
        <v>13</v>
      </c>
      <c r="D17" s="7"/>
      <c r="E17" s="7"/>
      <c r="F17" s="7"/>
      <c r="G17" s="7"/>
      <c r="H17" s="7"/>
      <c r="I17" s="7"/>
      <c r="J17" s="7"/>
      <c r="K17" s="49">
        <v>500000</v>
      </c>
      <c r="L17" s="7"/>
      <c r="M17" s="7"/>
      <c r="N17" s="7"/>
      <c r="O17" s="7"/>
      <c r="P17" s="7"/>
      <c r="Q17" s="7"/>
      <c r="R17" s="7"/>
      <c r="S17" s="70">
        <f>(Table14389[[#This Row],[Commercial Bid Price per case for NOI ($)]]-Table14389[[#This Row],[Pass-Thru Value per case ($)]])+Table14389[[#This Row],[Region 1: Fixed Fee Per Case ($)]]</f>
        <v>0</v>
      </c>
      <c r="T17" s="71" t="e">
        <f>(Table14389[[#This Row],[Commercial Bid Price per case for NOI ($)]]+Table14389[[#This Row],[Region 1: Fixed Fee Per Case ($)]])/Table14389[[#This Row],['# of CN Servings per case]]</f>
        <v>#DIV/0!</v>
      </c>
      <c r="U17" s="71" t="e">
        <f>Table14389[[#This Row],[Total Cost Per Serving (O+P)/J]]*Table14389[[#This Row],[Estimated Servings Annual]]</f>
        <v>#DIV/0!</v>
      </c>
      <c r="V17" s="70">
        <f>(Table14389[[#This Row],[Commercial Bid Price per case for NOI ($)]]-Table14389[[#This Row],[Pass-Thru Value per case ($)]])+Table14389[[#This Row],[Region 2: Fixed Fee Per Case ($)]]</f>
        <v>0</v>
      </c>
      <c r="W17" s="71" t="e">
        <f>(Table14389[[#This Row],[Commercial Bid Price per case for NOI ($)]]+Table14389[[#This Row],[Region 2: Fixed Fee Per Case ($)]])/Table14389[[#This Row],['# of CN Servings per case]]</f>
        <v>#DIV/0!</v>
      </c>
      <c r="X17" s="72" t="e">
        <f>Table14389[[#This Row],[Total Cost Per Serving (O+Q)/J]]*Table14389[[#This Row],[Estimated Servings Annual]]</f>
        <v>#DIV/0!</v>
      </c>
    </row>
    <row r="18" spans="1:24" ht="15" thickBot="1" x14ac:dyDescent="0.4">
      <c r="A18" s="30" t="s">
        <v>35</v>
      </c>
      <c r="B18" s="28" t="s">
        <v>150</v>
      </c>
      <c r="C18" s="8" t="s">
        <v>13</v>
      </c>
      <c r="D18" s="8"/>
      <c r="E18" s="8"/>
      <c r="F18" s="8"/>
      <c r="G18" s="8"/>
      <c r="H18" s="8"/>
      <c r="I18" s="8"/>
      <c r="J18" s="8"/>
      <c r="K18" s="50">
        <v>500000</v>
      </c>
      <c r="L18" s="8"/>
      <c r="M18" s="8"/>
      <c r="N18" s="8"/>
      <c r="O18" s="8"/>
      <c r="P18" s="8"/>
      <c r="Q18" s="8"/>
      <c r="R18" s="8"/>
      <c r="S18" s="73">
        <f>(Table14389[[#This Row],[Commercial Bid Price per case for NOI ($)]]-Table14389[[#This Row],[Pass-Thru Value per case ($)]])+Table14389[[#This Row],[Region 1: Fixed Fee Per Case ($)]]</f>
        <v>0</v>
      </c>
      <c r="T18" s="74" t="e">
        <f>(Table14389[[#This Row],[Commercial Bid Price per case for NOI ($)]]+Table14389[[#This Row],[Region 1: Fixed Fee Per Case ($)]])/Table14389[[#This Row],['# of CN Servings per case]]</f>
        <v>#DIV/0!</v>
      </c>
      <c r="U18" s="74" t="e">
        <f>Table14389[[#This Row],[Total Cost Per Serving (O+P)/J]]*Table14389[[#This Row],[Estimated Servings Annual]]</f>
        <v>#DIV/0!</v>
      </c>
      <c r="V18" s="73">
        <f>(Table14389[[#This Row],[Commercial Bid Price per case for NOI ($)]]-Table14389[[#This Row],[Pass-Thru Value per case ($)]])+Table14389[[#This Row],[Region 2: Fixed Fee Per Case ($)]]</f>
        <v>0</v>
      </c>
      <c r="W18" s="74" t="e">
        <f>(Table14389[[#This Row],[Commercial Bid Price per case for NOI ($)]]+Table14389[[#This Row],[Region 2: Fixed Fee Per Case ($)]])/Table14389[[#This Row],['# of CN Servings per case]]</f>
        <v>#DIV/0!</v>
      </c>
      <c r="X18" s="75" t="e">
        <f>Table14389[[#This Row],[Total Cost Per Serving (O+Q)/J]]*Table14389[[#This Row],[Estimated Servings Annual]]</f>
        <v>#DIV/0!</v>
      </c>
    </row>
    <row r="19" spans="1:24" x14ac:dyDescent="0.35">
      <c r="A19" s="30" t="s">
        <v>35</v>
      </c>
      <c r="B19" s="42" t="s">
        <v>151</v>
      </c>
      <c r="C19" s="6" t="s">
        <v>26</v>
      </c>
      <c r="D19" s="6"/>
      <c r="E19" s="6"/>
      <c r="F19" s="6"/>
      <c r="G19" s="6"/>
      <c r="H19" s="6"/>
      <c r="I19" s="6"/>
      <c r="J19" s="6"/>
      <c r="K19" s="48">
        <v>100000</v>
      </c>
      <c r="L19" s="6"/>
      <c r="M19" s="6"/>
      <c r="N19" s="6"/>
      <c r="O19" s="6"/>
      <c r="P19" s="6"/>
      <c r="Q19" s="6"/>
      <c r="R19" s="6"/>
      <c r="S19" s="67">
        <f>(Table14389[[#This Row],[Commercial Bid Price per case for NOI ($)]]-Table14389[[#This Row],[Pass-Thru Value per case ($)]])+Table14389[[#This Row],[Region 1: Fixed Fee Per Case ($)]]</f>
        <v>0</v>
      </c>
      <c r="T19" s="68" t="e">
        <f>(Table14389[[#This Row],[Commercial Bid Price per case for NOI ($)]]+Table14389[[#This Row],[Region 1: Fixed Fee Per Case ($)]])/Table14389[[#This Row],['# of CN Servings per case]]</f>
        <v>#DIV/0!</v>
      </c>
      <c r="U19" s="68" t="e">
        <f>Table14389[[#This Row],[Total Cost Per Serving (O+P)/J]]*Table14389[[#This Row],[Estimated Servings Annual]]</f>
        <v>#DIV/0!</v>
      </c>
      <c r="V19" s="67">
        <f>(Table14389[[#This Row],[Commercial Bid Price per case for NOI ($)]]-Table14389[[#This Row],[Pass-Thru Value per case ($)]])+Table14389[[#This Row],[Region 2: Fixed Fee Per Case ($)]]</f>
        <v>0</v>
      </c>
      <c r="W19" s="68" t="e">
        <f>(Table14389[[#This Row],[Commercial Bid Price per case for NOI ($)]]+Table14389[[#This Row],[Region 2: Fixed Fee Per Case ($)]])/Table14389[[#This Row],['# of CN Servings per case]]</f>
        <v>#DIV/0!</v>
      </c>
      <c r="X19" s="69" t="e">
        <f>Table14389[[#This Row],[Total Cost Per Serving (O+Q)/J]]*Table14389[[#This Row],[Estimated Servings Annual]]</f>
        <v>#DIV/0!</v>
      </c>
    </row>
    <row r="20" spans="1:24" x14ac:dyDescent="0.35">
      <c r="A20" s="30" t="s">
        <v>35</v>
      </c>
      <c r="B20" s="28" t="s">
        <v>151</v>
      </c>
      <c r="C20" s="7" t="s">
        <v>26</v>
      </c>
      <c r="D20" s="7"/>
      <c r="E20" s="7"/>
      <c r="F20" s="7"/>
      <c r="G20" s="7"/>
      <c r="H20" s="7"/>
      <c r="I20" s="7"/>
      <c r="J20" s="7"/>
      <c r="K20" s="49">
        <v>100000</v>
      </c>
      <c r="L20" s="7"/>
      <c r="M20" s="7"/>
      <c r="N20" s="7"/>
      <c r="O20" s="7"/>
      <c r="P20" s="7"/>
      <c r="Q20" s="7"/>
      <c r="R20" s="7"/>
      <c r="S20" s="70">
        <f>(Table14389[[#This Row],[Commercial Bid Price per case for NOI ($)]]-Table14389[[#This Row],[Pass-Thru Value per case ($)]])+Table14389[[#This Row],[Region 1: Fixed Fee Per Case ($)]]</f>
        <v>0</v>
      </c>
      <c r="T20" s="71" t="e">
        <f>(Table14389[[#This Row],[Commercial Bid Price per case for NOI ($)]]+Table14389[[#This Row],[Region 1: Fixed Fee Per Case ($)]])/Table14389[[#This Row],['# of CN Servings per case]]</f>
        <v>#DIV/0!</v>
      </c>
      <c r="U20" s="71" t="e">
        <f>Table14389[[#This Row],[Total Cost Per Serving (O+P)/J]]*Table14389[[#This Row],[Estimated Servings Annual]]</f>
        <v>#DIV/0!</v>
      </c>
      <c r="V20" s="70">
        <f>(Table14389[[#This Row],[Commercial Bid Price per case for NOI ($)]]-Table14389[[#This Row],[Pass-Thru Value per case ($)]])+Table14389[[#This Row],[Region 2: Fixed Fee Per Case ($)]]</f>
        <v>0</v>
      </c>
      <c r="W20" s="71" t="e">
        <f>(Table14389[[#This Row],[Commercial Bid Price per case for NOI ($)]]+Table14389[[#This Row],[Region 2: Fixed Fee Per Case ($)]])/Table14389[[#This Row],['# of CN Servings per case]]</f>
        <v>#DIV/0!</v>
      </c>
      <c r="X20" s="72" t="e">
        <f>Table14389[[#This Row],[Total Cost Per Serving (O+Q)/J]]*Table14389[[#This Row],[Estimated Servings Annual]]</f>
        <v>#DIV/0!</v>
      </c>
    </row>
    <row r="21" spans="1:24" x14ac:dyDescent="0.35">
      <c r="A21" s="30" t="s">
        <v>35</v>
      </c>
      <c r="B21" s="28" t="s">
        <v>151</v>
      </c>
      <c r="C21" s="7" t="s">
        <v>24</v>
      </c>
      <c r="D21" s="7"/>
      <c r="E21" s="7"/>
      <c r="F21" s="7"/>
      <c r="G21" s="7"/>
      <c r="H21" s="7"/>
      <c r="I21" s="7"/>
      <c r="J21" s="7"/>
      <c r="K21" s="49">
        <v>100000</v>
      </c>
      <c r="L21" s="7"/>
      <c r="M21" s="7"/>
      <c r="N21" s="7"/>
      <c r="O21" s="7"/>
      <c r="P21" s="7"/>
      <c r="Q21" s="7"/>
      <c r="R21" s="7"/>
      <c r="S21" s="70">
        <f>(Table14389[[#This Row],[Commercial Bid Price per case for NOI ($)]]-Table14389[[#This Row],[Pass-Thru Value per case ($)]])+Table14389[[#This Row],[Region 1: Fixed Fee Per Case ($)]]</f>
        <v>0</v>
      </c>
      <c r="T21" s="71" t="e">
        <f>(Table14389[[#This Row],[Commercial Bid Price per case for NOI ($)]]+Table14389[[#This Row],[Region 1: Fixed Fee Per Case ($)]])/Table14389[[#This Row],['# of CN Servings per case]]</f>
        <v>#DIV/0!</v>
      </c>
      <c r="U21" s="71" t="e">
        <f>Table14389[[#This Row],[Total Cost Per Serving (O+P)/J]]*Table14389[[#This Row],[Estimated Servings Annual]]</f>
        <v>#DIV/0!</v>
      </c>
      <c r="V21" s="70">
        <f>(Table14389[[#This Row],[Commercial Bid Price per case for NOI ($)]]-Table14389[[#This Row],[Pass-Thru Value per case ($)]])+Table14389[[#This Row],[Region 2: Fixed Fee Per Case ($)]]</f>
        <v>0</v>
      </c>
      <c r="W21" s="71" t="e">
        <f>(Table14389[[#This Row],[Commercial Bid Price per case for NOI ($)]]+Table14389[[#This Row],[Region 2: Fixed Fee Per Case ($)]])/Table14389[[#This Row],['# of CN Servings per case]]</f>
        <v>#DIV/0!</v>
      </c>
      <c r="X21" s="72" t="e">
        <f>Table14389[[#This Row],[Total Cost Per Serving (O+Q)/J]]*Table14389[[#This Row],[Estimated Servings Annual]]</f>
        <v>#DIV/0!</v>
      </c>
    </row>
    <row r="22" spans="1:24" x14ac:dyDescent="0.35">
      <c r="A22" s="30" t="s">
        <v>35</v>
      </c>
      <c r="B22" s="28" t="s">
        <v>151</v>
      </c>
      <c r="C22" s="7" t="s">
        <v>24</v>
      </c>
      <c r="D22" s="7"/>
      <c r="E22" s="7"/>
      <c r="F22" s="7"/>
      <c r="G22" s="7"/>
      <c r="H22" s="7"/>
      <c r="I22" s="7"/>
      <c r="J22" s="7"/>
      <c r="K22" s="49">
        <v>100000</v>
      </c>
      <c r="L22" s="7"/>
      <c r="M22" s="7"/>
      <c r="N22" s="7"/>
      <c r="O22" s="7"/>
      <c r="P22" s="7"/>
      <c r="Q22" s="7"/>
      <c r="R22" s="7"/>
      <c r="S22" s="70">
        <f>(Table14389[[#This Row],[Commercial Bid Price per case for NOI ($)]]-Table14389[[#This Row],[Pass-Thru Value per case ($)]])+Table14389[[#This Row],[Region 1: Fixed Fee Per Case ($)]]</f>
        <v>0</v>
      </c>
      <c r="T22" s="71" t="e">
        <f>(Table14389[[#This Row],[Commercial Bid Price per case for NOI ($)]]+Table14389[[#This Row],[Region 1: Fixed Fee Per Case ($)]])/Table14389[[#This Row],['# of CN Servings per case]]</f>
        <v>#DIV/0!</v>
      </c>
      <c r="U22" s="71" t="e">
        <f>Table14389[[#This Row],[Total Cost Per Serving (O+P)/J]]*Table14389[[#This Row],[Estimated Servings Annual]]</f>
        <v>#DIV/0!</v>
      </c>
      <c r="V22" s="70">
        <f>(Table14389[[#This Row],[Commercial Bid Price per case for NOI ($)]]-Table14389[[#This Row],[Pass-Thru Value per case ($)]])+Table14389[[#This Row],[Region 2: Fixed Fee Per Case ($)]]</f>
        <v>0</v>
      </c>
      <c r="W22" s="71" t="e">
        <f>(Table14389[[#This Row],[Commercial Bid Price per case for NOI ($)]]+Table14389[[#This Row],[Region 2: Fixed Fee Per Case ($)]])/Table14389[[#This Row],['# of CN Servings per case]]</f>
        <v>#DIV/0!</v>
      </c>
      <c r="X22" s="72" t="e">
        <f>Table14389[[#This Row],[Total Cost Per Serving (O+Q)/J]]*Table14389[[#This Row],[Estimated Servings Annual]]</f>
        <v>#DIV/0!</v>
      </c>
    </row>
    <row r="23" spans="1:24" x14ac:dyDescent="0.35">
      <c r="A23" s="30" t="s">
        <v>35</v>
      </c>
      <c r="B23" s="28" t="s">
        <v>151</v>
      </c>
      <c r="C23" s="7" t="s">
        <v>13</v>
      </c>
      <c r="D23" s="7"/>
      <c r="E23" s="7"/>
      <c r="F23" s="7"/>
      <c r="G23" s="7"/>
      <c r="H23" s="7"/>
      <c r="I23" s="7"/>
      <c r="J23" s="7"/>
      <c r="K23" s="49">
        <v>100000</v>
      </c>
      <c r="L23" s="7"/>
      <c r="M23" s="7"/>
      <c r="N23" s="7"/>
      <c r="O23" s="7"/>
      <c r="P23" s="7"/>
      <c r="Q23" s="7"/>
      <c r="R23" s="7"/>
      <c r="S23" s="70">
        <f>(Table14389[[#This Row],[Commercial Bid Price per case for NOI ($)]]-Table14389[[#This Row],[Pass-Thru Value per case ($)]])+Table14389[[#This Row],[Region 1: Fixed Fee Per Case ($)]]</f>
        <v>0</v>
      </c>
      <c r="T23" s="71" t="e">
        <f>(Table14389[[#This Row],[Commercial Bid Price per case for NOI ($)]]+Table14389[[#This Row],[Region 1: Fixed Fee Per Case ($)]])/Table14389[[#This Row],['# of CN Servings per case]]</f>
        <v>#DIV/0!</v>
      </c>
      <c r="U23" s="71" t="e">
        <f>Table14389[[#This Row],[Total Cost Per Serving (O+P)/J]]*Table14389[[#This Row],[Estimated Servings Annual]]</f>
        <v>#DIV/0!</v>
      </c>
      <c r="V23" s="70">
        <f>(Table14389[[#This Row],[Commercial Bid Price per case for NOI ($)]]-Table14389[[#This Row],[Pass-Thru Value per case ($)]])+Table14389[[#This Row],[Region 2: Fixed Fee Per Case ($)]]</f>
        <v>0</v>
      </c>
      <c r="W23" s="71" t="e">
        <f>(Table14389[[#This Row],[Commercial Bid Price per case for NOI ($)]]+Table14389[[#This Row],[Region 2: Fixed Fee Per Case ($)]])/Table14389[[#This Row],['# of CN Servings per case]]</f>
        <v>#DIV/0!</v>
      </c>
      <c r="X23" s="72" t="e">
        <f>Table14389[[#This Row],[Total Cost Per Serving (O+Q)/J]]*Table14389[[#This Row],[Estimated Servings Annual]]</f>
        <v>#DIV/0!</v>
      </c>
    </row>
    <row r="24" spans="1:24" x14ac:dyDescent="0.35">
      <c r="A24" s="30" t="s">
        <v>35</v>
      </c>
      <c r="B24" s="28" t="s">
        <v>151</v>
      </c>
      <c r="C24" s="7" t="s">
        <v>13</v>
      </c>
      <c r="D24" s="7"/>
      <c r="E24" s="7"/>
      <c r="F24" s="7"/>
      <c r="G24" s="7"/>
      <c r="H24" s="7"/>
      <c r="I24" s="7"/>
      <c r="J24" s="7"/>
      <c r="K24" s="49">
        <v>100000</v>
      </c>
      <c r="L24" s="7"/>
      <c r="M24" s="7"/>
      <c r="N24" s="7"/>
      <c r="O24" s="7"/>
      <c r="P24" s="7"/>
      <c r="Q24" s="7"/>
      <c r="R24" s="7"/>
      <c r="S24" s="70">
        <f>(Table14389[[#This Row],[Commercial Bid Price per case for NOI ($)]]-Table14389[[#This Row],[Pass-Thru Value per case ($)]])+Table14389[[#This Row],[Region 1: Fixed Fee Per Case ($)]]</f>
        <v>0</v>
      </c>
      <c r="T24" s="71" t="e">
        <f>(Table14389[[#This Row],[Commercial Bid Price per case for NOI ($)]]+Table14389[[#This Row],[Region 1: Fixed Fee Per Case ($)]])/Table14389[[#This Row],['# of CN Servings per case]]</f>
        <v>#DIV/0!</v>
      </c>
      <c r="U24" s="71" t="e">
        <f>Table14389[[#This Row],[Total Cost Per Serving (O+P)/J]]*Table14389[[#This Row],[Estimated Servings Annual]]</f>
        <v>#DIV/0!</v>
      </c>
      <c r="V24" s="70">
        <f>(Table14389[[#This Row],[Commercial Bid Price per case for NOI ($)]]-Table14389[[#This Row],[Pass-Thru Value per case ($)]])+Table14389[[#This Row],[Region 2: Fixed Fee Per Case ($)]]</f>
        <v>0</v>
      </c>
      <c r="W24" s="71" t="e">
        <f>(Table14389[[#This Row],[Commercial Bid Price per case for NOI ($)]]+Table14389[[#This Row],[Region 2: Fixed Fee Per Case ($)]])/Table14389[[#This Row],['# of CN Servings per case]]</f>
        <v>#DIV/0!</v>
      </c>
      <c r="X24" s="72" t="e">
        <f>Table14389[[#This Row],[Total Cost Per Serving (O+Q)/J]]*Table14389[[#This Row],[Estimated Servings Annual]]</f>
        <v>#DIV/0!</v>
      </c>
    </row>
    <row r="25" spans="1:24" x14ac:dyDescent="0.35">
      <c r="A25" s="30" t="s">
        <v>35</v>
      </c>
      <c r="B25" s="28" t="s">
        <v>151</v>
      </c>
      <c r="C25" s="7" t="s">
        <v>13</v>
      </c>
      <c r="D25" s="7"/>
      <c r="E25" s="7"/>
      <c r="F25" s="7"/>
      <c r="G25" s="7"/>
      <c r="H25" s="7"/>
      <c r="I25" s="7"/>
      <c r="J25" s="7"/>
      <c r="K25" s="49">
        <v>100000</v>
      </c>
      <c r="L25" s="7"/>
      <c r="M25" s="7"/>
      <c r="N25" s="7"/>
      <c r="O25" s="7"/>
      <c r="P25" s="7"/>
      <c r="Q25" s="7"/>
      <c r="R25" s="7"/>
      <c r="S25" s="70">
        <f>(Table14389[[#This Row],[Commercial Bid Price per case for NOI ($)]]-Table14389[[#This Row],[Pass-Thru Value per case ($)]])+Table14389[[#This Row],[Region 1: Fixed Fee Per Case ($)]]</f>
        <v>0</v>
      </c>
      <c r="T25" s="71" t="e">
        <f>(Table14389[[#This Row],[Commercial Bid Price per case for NOI ($)]]+Table14389[[#This Row],[Region 1: Fixed Fee Per Case ($)]])/Table14389[[#This Row],['# of CN Servings per case]]</f>
        <v>#DIV/0!</v>
      </c>
      <c r="U25" s="71" t="e">
        <f>Table14389[[#This Row],[Total Cost Per Serving (O+P)/J]]*Table14389[[#This Row],[Estimated Servings Annual]]</f>
        <v>#DIV/0!</v>
      </c>
      <c r="V25" s="70">
        <f>(Table14389[[#This Row],[Commercial Bid Price per case for NOI ($)]]-Table14389[[#This Row],[Pass-Thru Value per case ($)]])+Table14389[[#This Row],[Region 2: Fixed Fee Per Case ($)]]</f>
        <v>0</v>
      </c>
      <c r="W25" s="71" t="e">
        <f>(Table14389[[#This Row],[Commercial Bid Price per case for NOI ($)]]+Table14389[[#This Row],[Region 2: Fixed Fee Per Case ($)]])/Table14389[[#This Row],['# of CN Servings per case]]</f>
        <v>#DIV/0!</v>
      </c>
      <c r="X25" s="72" t="e">
        <f>Table14389[[#This Row],[Total Cost Per Serving (O+Q)/J]]*Table14389[[#This Row],[Estimated Servings Annual]]</f>
        <v>#DIV/0!</v>
      </c>
    </row>
    <row r="26" spans="1:24" ht="15" thickBot="1" x14ac:dyDescent="0.4">
      <c r="A26" s="30" t="s">
        <v>35</v>
      </c>
      <c r="B26" s="28" t="s">
        <v>151</v>
      </c>
      <c r="C26" s="8" t="s">
        <v>13</v>
      </c>
      <c r="D26" s="8"/>
      <c r="E26" s="8"/>
      <c r="F26" s="8"/>
      <c r="G26" s="8"/>
      <c r="H26" s="8"/>
      <c r="I26" s="8"/>
      <c r="J26" s="8"/>
      <c r="K26" s="50">
        <v>100000</v>
      </c>
      <c r="L26" s="8"/>
      <c r="M26" s="8"/>
      <c r="N26" s="8"/>
      <c r="O26" s="8"/>
      <c r="P26" s="8"/>
      <c r="Q26" s="8"/>
      <c r="R26" s="8"/>
      <c r="S26" s="73">
        <f>(Table14389[[#This Row],[Commercial Bid Price per case for NOI ($)]]-Table14389[[#This Row],[Pass-Thru Value per case ($)]])+Table14389[[#This Row],[Region 1: Fixed Fee Per Case ($)]]</f>
        <v>0</v>
      </c>
      <c r="T26" s="74" t="e">
        <f>(Table14389[[#This Row],[Commercial Bid Price per case for NOI ($)]]+Table14389[[#This Row],[Region 1: Fixed Fee Per Case ($)]])/Table14389[[#This Row],['# of CN Servings per case]]</f>
        <v>#DIV/0!</v>
      </c>
      <c r="U26" s="74" t="e">
        <f>Table14389[[#This Row],[Total Cost Per Serving (O+P)/J]]*Table14389[[#This Row],[Estimated Servings Annual]]</f>
        <v>#DIV/0!</v>
      </c>
      <c r="V26" s="73">
        <f>(Table14389[[#This Row],[Commercial Bid Price per case for NOI ($)]]-Table14389[[#This Row],[Pass-Thru Value per case ($)]])+Table14389[[#This Row],[Region 2: Fixed Fee Per Case ($)]]</f>
        <v>0</v>
      </c>
      <c r="W26" s="74" t="e">
        <f>(Table14389[[#This Row],[Commercial Bid Price per case for NOI ($)]]+Table14389[[#This Row],[Region 2: Fixed Fee Per Case ($)]])/Table14389[[#This Row],['# of CN Servings per case]]</f>
        <v>#DIV/0!</v>
      </c>
      <c r="X26" s="75" t="e">
        <f>Table14389[[#This Row],[Total Cost Per Serving (O+Q)/J]]*Table14389[[#This Row],[Estimated Servings Annual]]</f>
        <v>#DIV/0!</v>
      </c>
    </row>
    <row r="27" spans="1:24" x14ac:dyDescent="0.35">
      <c r="A27" s="30" t="s">
        <v>35</v>
      </c>
      <c r="B27" s="42" t="s">
        <v>152</v>
      </c>
      <c r="C27" s="6" t="s">
        <v>36</v>
      </c>
      <c r="D27" s="6"/>
      <c r="E27" s="6"/>
      <c r="F27" s="6"/>
      <c r="G27" s="6"/>
      <c r="H27" s="6"/>
      <c r="I27" s="6"/>
      <c r="J27" s="6"/>
      <c r="K27" s="48">
        <v>300000</v>
      </c>
      <c r="L27" s="6"/>
      <c r="M27" s="6"/>
      <c r="N27" s="6"/>
      <c r="O27" s="6"/>
      <c r="P27" s="6"/>
      <c r="Q27" s="6"/>
      <c r="R27" s="6"/>
      <c r="S27" s="67">
        <f>(Table14389[[#This Row],[Commercial Bid Price per case for NOI ($)]]-Table14389[[#This Row],[Pass-Thru Value per case ($)]])+Table14389[[#This Row],[Region 1: Fixed Fee Per Case ($)]]</f>
        <v>0</v>
      </c>
      <c r="T27" s="68" t="e">
        <f>(Table14389[[#This Row],[Commercial Bid Price per case for NOI ($)]]+Table14389[[#This Row],[Region 1: Fixed Fee Per Case ($)]])/Table14389[[#This Row],['# of CN Servings per case]]</f>
        <v>#DIV/0!</v>
      </c>
      <c r="U27" s="68" t="e">
        <f>Table14389[[#This Row],[Total Cost Per Serving (O+P)/J]]*Table14389[[#This Row],[Estimated Servings Annual]]</f>
        <v>#DIV/0!</v>
      </c>
      <c r="V27" s="67">
        <f>(Table14389[[#This Row],[Commercial Bid Price per case for NOI ($)]]-Table14389[[#This Row],[Pass-Thru Value per case ($)]])+Table14389[[#This Row],[Region 2: Fixed Fee Per Case ($)]]</f>
        <v>0</v>
      </c>
      <c r="W27" s="68" t="e">
        <f>(Table14389[[#This Row],[Commercial Bid Price per case for NOI ($)]]+Table14389[[#This Row],[Region 2: Fixed Fee Per Case ($)]])/Table14389[[#This Row],['# of CN Servings per case]]</f>
        <v>#DIV/0!</v>
      </c>
      <c r="X27" s="69" t="e">
        <f>Table14389[[#This Row],[Total Cost Per Serving (O+Q)/J]]*Table14389[[#This Row],[Estimated Servings Annual]]</f>
        <v>#DIV/0!</v>
      </c>
    </row>
    <row r="28" spans="1:24" x14ac:dyDescent="0.35">
      <c r="A28" s="30" t="s">
        <v>35</v>
      </c>
      <c r="B28" s="28" t="s">
        <v>152</v>
      </c>
      <c r="C28" s="7" t="s">
        <v>36</v>
      </c>
      <c r="D28" s="7"/>
      <c r="E28" s="7"/>
      <c r="F28" s="7"/>
      <c r="G28" s="7"/>
      <c r="H28" s="7"/>
      <c r="I28" s="7"/>
      <c r="J28" s="7"/>
      <c r="K28" s="49">
        <v>300000</v>
      </c>
      <c r="L28" s="7"/>
      <c r="M28" s="7"/>
      <c r="N28" s="7"/>
      <c r="O28" s="7"/>
      <c r="P28" s="7"/>
      <c r="Q28" s="7"/>
      <c r="R28" s="7"/>
      <c r="S28" s="70">
        <f>(Table14389[[#This Row],[Commercial Bid Price per case for NOI ($)]]-Table14389[[#This Row],[Pass-Thru Value per case ($)]])+Table14389[[#This Row],[Region 1: Fixed Fee Per Case ($)]]</f>
        <v>0</v>
      </c>
      <c r="T28" s="71" t="e">
        <f>(Table14389[[#This Row],[Commercial Bid Price per case for NOI ($)]]+Table14389[[#This Row],[Region 1: Fixed Fee Per Case ($)]])/Table14389[[#This Row],['# of CN Servings per case]]</f>
        <v>#DIV/0!</v>
      </c>
      <c r="U28" s="71" t="e">
        <f>Table14389[[#This Row],[Total Cost Per Serving (O+P)/J]]*Table14389[[#This Row],[Estimated Servings Annual]]</f>
        <v>#DIV/0!</v>
      </c>
      <c r="V28" s="70">
        <f>(Table14389[[#This Row],[Commercial Bid Price per case for NOI ($)]]-Table14389[[#This Row],[Pass-Thru Value per case ($)]])+Table14389[[#This Row],[Region 2: Fixed Fee Per Case ($)]]</f>
        <v>0</v>
      </c>
      <c r="W28" s="71" t="e">
        <f>(Table14389[[#This Row],[Commercial Bid Price per case for NOI ($)]]+Table14389[[#This Row],[Region 2: Fixed Fee Per Case ($)]])/Table14389[[#This Row],['# of CN Servings per case]]</f>
        <v>#DIV/0!</v>
      </c>
      <c r="X28" s="72" t="e">
        <f>Table14389[[#This Row],[Total Cost Per Serving (O+Q)/J]]*Table14389[[#This Row],[Estimated Servings Annual]]</f>
        <v>#DIV/0!</v>
      </c>
    </row>
    <row r="29" spans="1:24" x14ac:dyDescent="0.35">
      <c r="A29" s="30" t="s">
        <v>35</v>
      </c>
      <c r="B29" s="28" t="s">
        <v>152</v>
      </c>
      <c r="C29" s="7" t="s">
        <v>26</v>
      </c>
      <c r="D29" s="7"/>
      <c r="E29" s="7"/>
      <c r="F29" s="7"/>
      <c r="G29" s="7"/>
      <c r="H29" s="7"/>
      <c r="I29" s="7"/>
      <c r="J29" s="7"/>
      <c r="K29" s="49">
        <v>300000</v>
      </c>
      <c r="L29" s="7"/>
      <c r="M29" s="7"/>
      <c r="N29" s="7"/>
      <c r="O29" s="7"/>
      <c r="P29" s="7"/>
      <c r="Q29" s="7"/>
      <c r="R29" s="7"/>
      <c r="S29" s="70">
        <f>(Table14389[[#This Row],[Commercial Bid Price per case for NOI ($)]]-Table14389[[#This Row],[Pass-Thru Value per case ($)]])+Table14389[[#This Row],[Region 1: Fixed Fee Per Case ($)]]</f>
        <v>0</v>
      </c>
      <c r="T29" s="71" t="e">
        <f>(Table14389[[#This Row],[Commercial Bid Price per case for NOI ($)]]+Table14389[[#This Row],[Region 1: Fixed Fee Per Case ($)]])/Table14389[[#This Row],['# of CN Servings per case]]</f>
        <v>#DIV/0!</v>
      </c>
      <c r="U29" s="71" t="e">
        <f>Table14389[[#This Row],[Total Cost Per Serving (O+P)/J]]*Table14389[[#This Row],[Estimated Servings Annual]]</f>
        <v>#DIV/0!</v>
      </c>
      <c r="V29" s="70">
        <f>(Table14389[[#This Row],[Commercial Bid Price per case for NOI ($)]]-Table14389[[#This Row],[Pass-Thru Value per case ($)]])+Table14389[[#This Row],[Region 2: Fixed Fee Per Case ($)]]</f>
        <v>0</v>
      </c>
      <c r="W29" s="71" t="e">
        <f>(Table14389[[#This Row],[Commercial Bid Price per case for NOI ($)]]+Table14389[[#This Row],[Region 2: Fixed Fee Per Case ($)]])/Table14389[[#This Row],['# of CN Servings per case]]</f>
        <v>#DIV/0!</v>
      </c>
      <c r="X29" s="72" t="e">
        <f>Table14389[[#This Row],[Total Cost Per Serving (O+Q)/J]]*Table14389[[#This Row],[Estimated Servings Annual]]</f>
        <v>#DIV/0!</v>
      </c>
    </row>
    <row r="30" spans="1:24" x14ac:dyDescent="0.35">
      <c r="A30" s="30" t="s">
        <v>35</v>
      </c>
      <c r="B30" s="28" t="s">
        <v>152</v>
      </c>
      <c r="C30" s="7" t="s">
        <v>26</v>
      </c>
      <c r="D30" s="7"/>
      <c r="E30" s="7"/>
      <c r="F30" s="7"/>
      <c r="G30" s="7"/>
      <c r="H30" s="7"/>
      <c r="I30" s="7"/>
      <c r="J30" s="7"/>
      <c r="K30" s="49">
        <v>300000</v>
      </c>
      <c r="L30" s="7"/>
      <c r="M30" s="7"/>
      <c r="N30" s="7"/>
      <c r="O30" s="7"/>
      <c r="P30" s="7"/>
      <c r="Q30" s="7"/>
      <c r="R30" s="7"/>
      <c r="S30" s="70">
        <f>(Table14389[[#This Row],[Commercial Bid Price per case for NOI ($)]]-Table14389[[#This Row],[Pass-Thru Value per case ($)]])+Table14389[[#This Row],[Region 1: Fixed Fee Per Case ($)]]</f>
        <v>0</v>
      </c>
      <c r="T30" s="71" t="e">
        <f>(Table14389[[#This Row],[Commercial Bid Price per case for NOI ($)]]+Table14389[[#This Row],[Region 1: Fixed Fee Per Case ($)]])/Table14389[[#This Row],['# of CN Servings per case]]</f>
        <v>#DIV/0!</v>
      </c>
      <c r="U30" s="71" t="e">
        <f>Table14389[[#This Row],[Total Cost Per Serving (O+P)/J]]*Table14389[[#This Row],[Estimated Servings Annual]]</f>
        <v>#DIV/0!</v>
      </c>
      <c r="V30" s="70">
        <f>(Table14389[[#This Row],[Commercial Bid Price per case for NOI ($)]]-Table14389[[#This Row],[Pass-Thru Value per case ($)]])+Table14389[[#This Row],[Region 2: Fixed Fee Per Case ($)]]</f>
        <v>0</v>
      </c>
      <c r="W30" s="71" t="e">
        <f>(Table14389[[#This Row],[Commercial Bid Price per case for NOI ($)]]+Table14389[[#This Row],[Region 2: Fixed Fee Per Case ($)]])/Table14389[[#This Row],['# of CN Servings per case]]</f>
        <v>#DIV/0!</v>
      </c>
      <c r="X30" s="72" t="e">
        <f>Table14389[[#This Row],[Total Cost Per Serving (O+Q)/J]]*Table14389[[#This Row],[Estimated Servings Annual]]</f>
        <v>#DIV/0!</v>
      </c>
    </row>
    <row r="31" spans="1:24" x14ac:dyDescent="0.35">
      <c r="A31" s="30" t="s">
        <v>35</v>
      </c>
      <c r="B31" s="28" t="s">
        <v>152</v>
      </c>
      <c r="C31" s="7" t="s">
        <v>13</v>
      </c>
      <c r="D31" s="7"/>
      <c r="E31" s="7"/>
      <c r="F31" s="7"/>
      <c r="G31" s="7"/>
      <c r="H31" s="7"/>
      <c r="I31" s="7"/>
      <c r="J31" s="7"/>
      <c r="K31" s="49">
        <v>300000</v>
      </c>
      <c r="L31" s="7"/>
      <c r="M31" s="7"/>
      <c r="N31" s="7"/>
      <c r="O31" s="7"/>
      <c r="P31" s="7"/>
      <c r="Q31" s="7"/>
      <c r="R31" s="7"/>
      <c r="S31" s="70">
        <f>(Table14389[[#This Row],[Commercial Bid Price per case for NOI ($)]]-Table14389[[#This Row],[Pass-Thru Value per case ($)]])+Table14389[[#This Row],[Region 1: Fixed Fee Per Case ($)]]</f>
        <v>0</v>
      </c>
      <c r="T31" s="71" t="e">
        <f>(Table14389[[#This Row],[Commercial Bid Price per case for NOI ($)]]+Table14389[[#This Row],[Region 1: Fixed Fee Per Case ($)]])/Table14389[[#This Row],['# of CN Servings per case]]</f>
        <v>#DIV/0!</v>
      </c>
      <c r="U31" s="71" t="e">
        <f>Table14389[[#This Row],[Total Cost Per Serving (O+P)/J]]*Table14389[[#This Row],[Estimated Servings Annual]]</f>
        <v>#DIV/0!</v>
      </c>
      <c r="V31" s="70">
        <f>(Table14389[[#This Row],[Commercial Bid Price per case for NOI ($)]]-Table14389[[#This Row],[Pass-Thru Value per case ($)]])+Table14389[[#This Row],[Region 2: Fixed Fee Per Case ($)]]</f>
        <v>0</v>
      </c>
      <c r="W31" s="71" t="e">
        <f>(Table14389[[#This Row],[Commercial Bid Price per case for NOI ($)]]+Table14389[[#This Row],[Region 2: Fixed Fee Per Case ($)]])/Table14389[[#This Row],['# of CN Servings per case]]</f>
        <v>#DIV/0!</v>
      </c>
      <c r="X31" s="72" t="e">
        <f>Table14389[[#This Row],[Total Cost Per Serving (O+Q)/J]]*Table14389[[#This Row],[Estimated Servings Annual]]</f>
        <v>#DIV/0!</v>
      </c>
    </row>
    <row r="32" spans="1:24" x14ac:dyDescent="0.35">
      <c r="A32" s="30" t="s">
        <v>35</v>
      </c>
      <c r="B32" s="28" t="s">
        <v>152</v>
      </c>
      <c r="C32" s="7" t="s">
        <v>13</v>
      </c>
      <c r="D32" s="7"/>
      <c r="E32" s="7"/>
      <c r="F32" s="7"/>
      <c r="G32" s="7"/>
      <c r="H32" s="7"/>
      <c r="I32" s="7"/>
      <c r="J32" s="7"/>
      <c r="K32" s="49">
        <v>300000</v>
      </c>
      <c r="L32" s="7"/>
      <c r="M32" s="7"/>
      <c r="N32" s="7"/>
      <c r="O32" s="7"/>
      <c r="P32" s="7"/>
      <c r="Q32" s="7"/>
      <c r="R32" s="7"/>
      <c r="S32" s="70">
        <f>(Table14389[[#This Row],[Commercial Bid Price per case for NOI ($)]]-Table14389[[#This Row],[Pass-Thru Value per case ($)]])+Table14389[[#This Row],[Region 1: Fixed Fee Per Case ($)]]</f>
        <v>0</v>
      </c>
      <c r="T32" s="71" t="e">
        <f>(Table14389[[#This Row],[Commercial Bid Price per case for NOI ($)]]+Table14389[[#This Row],[Region 1: Fixed Fee Per Case ($)]])/Table14389[[#This Row],['# of CN Servings per case]]</f>
        <v>#DIV/0!</v>
      </c>
      <c r="U32" s="71" t="e">
        <f>Table14389[[#This Row],[Total Cost Per Serving (O+P)/J]]*Table14389[[#This Row],[Estimated Servings Annual]]</f>
        <v>#DIV/0!</v>
      </c>
      <c r="V32" s="70">
        <f>(Table14389[[#This Row],[Commercial Bid Price per case for NOI ($)]]-Table14389[[#This Row],[Pass-Thru Value per case ($)]])+Table14389[[#This Row],[Region 2: Fixed Fee Per Case ($)]]</f>
        <v>0</v>
      </c>
      <c r="W32" s="71" t="e">
        <f>(Table14389[[#This Row],[Commercial Bid Price per case for NOI ($)]]+Table14389[[#This Row],[Region 2: Fixed Fee Per Case ($)]])/Table14389[[#This Row],['# of CN Servings per case]]</f>
        <v>#DIV/0!</v>
      </c>
      <c r="X32" s="72" t="e">
        <f>Table14389[[#This Row],[Total Cost Per Serving (O+Q)/J]]*Table14389[[#This Row],[Estimated Servings Annual]]</f>
        <v>#DIV/0!</v>
      </c>
    </row>
    <row r="33" spans="1:24" x14ac:dyDescent="0.35">
      <c r="A33" s="30" t="s">
        <v>35</v>
      </c>
      <c r="B33" s="28" t="s">
        <v>152</v>
      </c>
      <c r="C33" s="7" t="s">
        <v>13</v>
      </c>
      <c r="D33" s="7"/>
      <c r="E33" s="7"/>
      <c r="F33" s="7"/>
      <c r="G33" s="7"/>
      <c r="H33" s="7"/>
      <c r="I33" s="7"/>
      <c r="J33" s="7"/>
      <c r="K33" s="49">
        <v>300000</v>
      </c>
      <c r="L33" s="7"/>
      <c r="M33" s="7"/>
      <c r="N33" s="7"/>
      <c r="O33" s="7"/>
      <c r="P33" s="7"/>
      <c r="Q33" s="7"/>
      <c r="R33" s="7"/>
      <c r="S33" s="70">
        <f>(Table14389[[#This Row],[Commercial Bid Price per case for NOI ($)]]-Table14389[[#This Row],[Pass-Thru Value per case ($)]])+Table14389[[#This Row],[Region 1: Fixed Fee Per Case ($)]]</f>
        <v>0</v>
      </c>
      <c r="T33" s="71" t="e">
        <f>(Table14389[[#This Row],[Commercial Bid Price per case for NOI ($)]]+Table14389[[#This Row],[Region 1: Fixed Fee Per Case ($)]])/Table14389[[#This Row],['# of CN Servings per case]]</f>
        <v>#DIV/0!</v>
      </c>
      <c r="U33" s="71" t="e">
        <f>Table14389[[#This Row],[Total Cost Per Serving (O+P)/J]]*Table14389[[#This Row],[Estimated Servings Annual]]</f>
        <v>#DIV/0!</v>
      </c>
      <c r="V33" s="70">
        <f>(Table14389[[#This Row],[Commercial Bid Price per case for NOI ($)]]-Table14389[[#This Row],[Pass-Thru Value per case ($)]])+Table14389[[#This Row],[Region 2: Fixed Fee Per Case ($)]]</f>
        <v>0</v>
      </c>
      <c r="W33" s="71" t="e">
        <f>(Table14389[[#This Row],[Commercial Bid Price per case for NOI ($)]]+Table14389[[#This Row],[Region 2: Fixed Fee Per Case ($)]])/Table14389[[#This Row],['# of CN Servings per case]]</f>
        <v>#DIV/0!</v>
      </c>
      <c r="X33" s="72" t="e">
        <f>Table14389[[#This Row],[Total Cost Per Serving (O+Q)/J]]*Table14389[[#This Row],[Estimated Servings Annual]]</f>
        <v>#DIV/0!</v>
      </c>
    </row>
    <row r="34" spans="1:24" ht="15" thickBot="1" x14ac:dyDescent="0.4">
      <c r="A34" s="30" t="s">
        <v>35</v>
      </c>
      <c r="B34" s="28" t="s">
        <v>152</v>
      </c>
      <c r="C34" s="8" t="s">
        <v>13</v>
      </c>
      <c r="D34" s="8"/>
      <c r="E34" s="8"/>
      <c r="F34" s="8"/>
      <c r="G34" s="8"/>
      <c r="H34" s="8"/>
      <c r="I34" s="8"/>
      <c r="J34" s="8"/>
      <c r="K34" s="50">
        <v>300000</v>
      </c>
      <c r="L34" s="8"/>
      <c r="M34" s="8"/>
      <c r="N34" s="8"/>
      <c r="O34" s="8"/>
      <c r="P34" s="8"/>
      <c r="Q34" s="8"/>
      <c r="R34" s="8"/>
      <c r="S34" s="73">
        <f>(Table14389[[#This Row],[Commercial Bid Price per case for NOI ($)]]-Table14389[[#This Row],[Pass-Thru Value per case ($)]])+Table14389[[#This Row],[Region 1: Fixed Fee Per Case ($)]]</f>
        <v>0</v>
      </c>
      <c r="T34" s="74" t="e">
        <f>(Table14389[[#This Row],[Commercial Bid Price per case for NOI ($)]]+Table14389[[#This Row],[Region 1: Fixed Fee Per Case ($)]])/Table14389[[#This Row],['# of CN Servings per case]]</f>
        <v>#DIV/0!</v>
      </c>
      <c r="U34" s="74" t="e">
        <f>Table14389[[#This Row],[Total Cost Per Serving (O+P)/J]]*Table14389[[#This Row],[Estimated Servings Annual]]</f>
        <v>#DIV/0!</v>
      </c>
      <c r="V34" s="73">
        <f>(Table14389[[#This Row],[Commercial Bid Price per case for NOI ($)]]-Table14389[[#This Row],[Pass-Thru Value per case ($)]])+Table14389[[#This Row],[Region 2: Fixed Fee Per Case ($)]]</f>
        <v>0</v>
      </c>
      <c r="W34" s="74" t="e">
        <f>(Table14389[[#This Row],[Commercial Bid Price per case for NOI ($)]]+Table14389[[#This Row],[Region 2: Fixed Fee Per Case ($)]])/Table14389[[#This Row],['# of CN Servings per case]]</f>
        <v>#DIV/0!</v>
      </c>
      <c r="X34" s="75" t="e">
        <f>Table14389[[#This Row],[Total Cost Per Serving (O+Q)/J]]*Table14389[[#This Row],[Estimated Servings Annual]]</f>
        <v>#DIV/0!</v>
      </c>
    </row>
    <row r="35" spans="1:24" x14ac:dyDescent="0.35">
      <c r="A35" s="30" t="s">
        <v>35</v>
      </c>
      <c r="B35" s="43" t="s">
        <v>153</v>
      </c>
      <c r="C35" s="6" t="s">
        <v>36</v>
      </c>
      <c r="D35" s="6"/>
      <c r="E35" s="6"/>
      <c r="F35" s="6"/>
      <c r="G35" s="6"/>
      <c r="H35" s="6"/>
      <c r="I35" s="6"/>
      <c r="J35" s="6"/>
      <c r="K35" s="48">
        <v>300000</v>
      </c>
      <c r="L35" s="6"/>
      <c r="M35" s="6"/>
      <c r="N35" s="6"/>
      <c r="O35" s="6"/>
      <c r="P35" s="6"/>
      <c r="Q35" s="6"/>
      <c r="R35" s="6"/>
      <c r="S35" s="67">
        <f>(Table14389[[#This Row],[Commercial Bid Price per case for NOI ($)]]-Table14389[[#This Row],[Pass-Thru Value per case ($)]])+Table14389[[#This Row],[Region 1: Fixed Fee Per Case ($)]]</f>
        <v>0</v>
      </c>
      <c r="T35" s="76" t="e">
        <f>(Table14389[[#This Row],[Commercial Bid Price per case for NOI ($)]]+Table14389[[#This Row],[Region 1: Fixed Fee Per Case ($)]])/Table14389[[#This Row],['# of CN Servings per case]]</f>
        <v>#DIV/0!</v>
      </c>
      <c r="U35" s="68" t="e">
        <f>Table14389[[#This Row],[Total Cost Per Serving (O+P)/J]]*Table14389[[#This Row],[Estimated Servings Annual]]</f>
        <v>#DIV/0!</v>
      </c>
      <c r="V35" s="67">
        <f>(Table14389[[#This Row],[Commercial Bid Price per case for NOI ($)]]-Table14389[[#This Row],[Pass-Thru Value per case ($)]])+Table14389[[#This Row],[Region 2: Fixed Fee Per Case ($)]]</f>
        <v>0</v>
      </c>
      <c r="W35" s="76" t="e">
        <f>(Table14389[[#This Row],[Commercial Bid Price per case for NOI ($)]]+Table14389[[#This Row],[Region 2: Fixed Fee Per Case ($)]])/Table14389[[#This Row],['# of CN Servings per case]]</f>
        <v>#DIV/0!</v>
      </c>
      <c r="X35" s="69" t="e">
        <f>Table14389[[#This Row],[Total Cost Per Serving (O+Q)/J]]*Table14389[[#This Row],[Estimated Servings Annual]]</f>
        <v>#DIV/0!</v>
      </c>
    </row>
    <row r="36" spans="1:24" x14ac:dyDescent="0.35">
      <c r="A36" s="30" t="s">
        <v>35</v>
      </c>
      <c r="B36" s="44" t="s">
        <v>153</v>
      </c>
      <c r="C36" s="7" t="s">
        <v>36</v>
      </c>
      <c r="D36" s="7"/>
      <c r="E36" s="7"/>
      <c r="F36" s="7"/>
      <c r="G36" s="7"/>
      <c r="H36" s="7"/>
      <c r="I36" s="7"/>
      <c r="J36" s="7"/>
      <c r="K36" s="49">
        <v>300000</v>
      </c>
      <c r="L36" s="7"/>
      <c r="M36" s="7"/>
      <c r="N36" s="7"/>
      <c r="O36" s="7"/>
      <c r="P36" s="7"/>
      <c r="Q36" s="7"/>
      <c r="R36" s="7"/>
      <c r="S36" s="70">
        <f>(Table14389[[#This Row],[Commercial Bid Price per case for NOI ($)]]-Table14389[[#This Row],[Pass-Thru Value per case ($)]])+Table14389[[#This Row],[Region 1: Fixed Fee Per Case ($)]]</f>
        <v>0</v>
      </c>
      <c r="T36" s="77" t="e">
        <f>(Table14389[[#This Row],[Commercial Bid Price per case for NOI ($)]]+Table14389[[#This Row],[Region 1: Fixed Fee Per Case ($)]])/Table14389[[#This Row],['# of CN Servings per case]]</f>
        <v>#DIV/0!</v>
      </c>
      <c r="U36" s="71" t="e">
        <f>Table14389[[#This Row],[Total Cost Per Serving (O+P)/J]]*Table14389[[#This Row],[Estimated Servings Annual]]</f>
        <v>#DIV/0!</v>
      </c>
      <c r="V36" s="70">
        <f>(Table14389[[#This Row],[Commercial Bid Price per case for NOI ($)]]-Table14389[[#This Row],[Pass-Thru Value per case ($)]])+Table14389[[#This Row],[Region 2: Fixed Fee Per Case ($)]]</f>
        <v>0</v>
      </c>
      <c r="W36" s="77" t="e">
        <f>(Table14389[[#This Row],[Commercial Bid Price per case for NOI ($)]]+Table14389[[#This Row],[Region 2: Fixed Fee Per Case ($)]])/Table14389[[#This Row],['# of CN Servings per case]]</f>
        <v>#DIV/0!</v>
      </c>
      <c r="X36" s="72" t="e">
        <f>Table14389[[#This Row],[Total Cost Per Serving (O+Q)/J]]*Table14389[[#This Row],[Estimated Servings Annual]]</f>
        <v>#DIV/0!</v>
      </c>
    </row>
    <row r="37" spans="1:24" x14ac:dyDescent="0.35">
      <c r="A37" s="30" t="s">
        <v>35</v>
      </c>
      <c r="B37" s="44" t="s">
        <v>153</v>
      </c>
      <c r="C37" s="7" t="s">
        <v>26</v>
      </c>
      <c r="D37" s="7"/>
      <c r="E37" s="7"/>
      <c r="F37" s="7"/>
      <c r="G37" s="7"/>
      <c r="H37" s="7"/>
      <c r="I37" s="7"/>
      <c r="J37" s="7"/>
      <c r="K37" s="49">
        <v>300000</v>
      </c>
      <c r="L37" s="7"/>
      <c r="M37" s="7"/>
      <c r="N37" s="7"/>
      <c r="O37" s="7"/>
      <c r="P37" s="7"/>
      <c r="Q37" s="7"/>
      <c r="R37" s="7"/>
      <c r="S37" s="70">
        <f>(Table14389[[#This Row],[Commercial Bid Price per case for NOI ($)]]-Table14389[[#This Row],[Pass-Thru Value per case ($)]])+Table14389[[#This Row],[Region 1: Fixed Fee Per Case ($)]]</f>
        <v>0</v>
      </c>
      <c r="T37" s="77" t="e">
        <f>(Table14389[[#This Row],[Commercial Bid Price per case for NOI ($)]]+Table14389[[#This Row],[Region 1: Fixed Fee Per Case ($)]])/Table14389[[#This Row],['# of CN Servings per case]]</f>
        <v>#DIV/0!</v>
      </c>
      <c r="U37" s="71" t="e">
        <f>Table14389[[#This Row],[Total Cost Per Serving (O+P)/J]]*Table14389[[#This Row],[Estimated Servings Annual]]</f>
        <v>#DIV/0!</v>
      </c>
      <c r="V37" s="70">
        <f>(Table14389[[#This Row],[Commercial Bid Price per case for NOI ($)]]-Table14389[[#This Row],[Pass-Thru Value per case ($)]])+Table14389[[#This Row],[Region 2: Fixed Fee Per Case ($)]]</f>
        <v>0</v>
      </c>
      <c r="W37" s="77" t="e">
        <f>(Table14389[[#This Row],[Commercial Bid Price per case for NOI ($)]]+Table14389[[#This Row],[Region 2: Fixed Fee Per Case ($)]])/Table14389[[#This Row],['# of CN Servings per case]]</f>
        <v>#DIV/0!</v>
      </c>
      <c r="X37" s="72" t="e">
        <f>Table14389[[#This Row],[Total Cost Per Serving (O+Q)/J]]*Table14389[[#This Row],[Estimated Servings Annual]]</f>
        <v>#DIV/0!</v>
      </c>
    </row>
    <row r="38" spans="1:24" x14ac:dyDescent="0.35">
      <c r="A38" s="30" t="s">
        <v>35</v>
      </c>
      <c r="B38" s="44" t="s">
        <v>153</v>
      </c>
      <c r="C38" s="7" t="s">
        <v>26</v>
      </c>
      <c r="D38" s="7"/>
      <c r="E38" s="7"/>
      <c r="F38" s="7"/>
      <c r="G38" s="7"/>
      <c r="H38" s="7"/>
      <c r="I38" s="7"/>
      <c r="J38" s="7"/>
      <c r="K38" s="49">
        <v>300000</v>
      </c>
      <c r="L38" s="7"/>
      <c r="M38" s="7"/>
      <c r="N38" s="7"/>
      <c r="O38" s="7"/>
      <c r="P38" s="7"/>
      <c r="Q38" s="7"/>
      <c r="R38" s="7"/>
      <c r="S38" s="70">
        <f>(Table14389[[#This Row],[Commercial Bid Price per case for NOI ($)]]-Table14389[[#This Row],[Pass-Thru Value per case ($)]])+Table14389[[#This Row],[Region 1: Fixed Fee Per Case ($)]]</f>
        <v>0</v>
      </c>
      <c r="T38" s="77" t="e">
        <f>(Table14389[[#This Row],[Commercial Bid Price per case for NOI ($)]]+Table14389[[#This Row],[Region 1: Fixed Fee Per Case ($)]])/Table14389[[#This Row],['# of CN Servings per case]]</f>
        <v>#DIV/0!</v>
      </c>
      <c r="U38" s="71" t="e">
        <f>Table14389[[#This Row],[Total Cost Per Serving (O+P)/J]]*Table14389[[#This Row],[Estimated Servings Annual]]</f>
        <v>#DIV/0!</v>
      </c>
      <c r="V38" s="70">
        <f>(Table14389[[#This Row],[Commercial Bid Price per case for NOI ($)]]-Table14389[[#This Row],[Pass-Thru Value per case ($)]])+Table14389[[#This Row],[Region 2: Fixed Fee Per Case ($)]]</f>
        <v>0</v>
      </c>
      <c r="W38" s="77" t="e">
        <f>(Table14389[[#This Row],[Commercial Bid Price per case for NOI ($)]]+Table14389[[#This Row],[Region 2: Fixed Fee Per Case ($)]])/Table14389[[#This Row],['# of CN Servings per case]]</f>
        <v>#DIV/0!</v>
      </c>
      <c r="X38" s="72" t="e">
        <f>Table14389[[#This Row],[Total Cost Per Serving (O+Q)/J]]*Table14389[[#This Row],[Estimated Servings Annual]]</f>
        <v>#DIV/0!</v>
      </c>
    </row>
    <row r="39" spans="1:24" x14ac:dyDescent="0.35">
      <c r="A39" s="30" t="s">
        <v>35</v>
      </c>
      <c r="B39" s="44" t="s">
        <v>153</v>
      </c>
      <c r="C39" s="7" t="s">
        <v>13</v>
      </c>
      <c r="D39" s="7"/>
      <c r="E39" s="7"/>
      <c r="F39" s="7"/>
      <c r="G39" s="7"/>
      <c r="H39" s="7"/>
      <c r="I39" s="7"/>
      <c r="J39" s="7"/>
      <c r="K39" s="49">
        <v>300000</v>
      </c>
      <c r="L39" s="7"/>
      <c r="M39" s="7"/>
      <c r="N39" s="7"/>
      <c r="O39" s="7"/>
      <c r="P39" s="7"/>
      <c r="Q39" s="7"/>
      <c r="R39" s="7"/>
      <c r="S39" s="70">
        <f>(Table14389[[#This Row],[Commercial Bid Price per case for NOI ($)]]-Table14389[[#This Row],[Pass-Thru Value per case ($)]])+Table14389[[#This Row],[Region 1: Fixed Fee Per Case ($)]]</f>
        <v>0</v>
      </c>
      <c r="T39" s="77" t="e">
        <f>(Table14389[[#This Row],[Commercial Bid Price per case for NOI ($)]]+Table14389[[#This Row],[Region 1: Fixed Fee Per Case ($)]])/Table14389[[#This Row],['# of CN Servings per case]]</f>
        <v>#DIV/0!</v>
      </c>
      <c r="U39" s="71" t="e">
        <f>Table14389[[#This Row],[Total Cost Per Serving (O+P)/J]]*Table14389[[#This Row],[Estimated Servings Annual]]</f>
        <v>#DIV/0!</v>
      </c>
      <c r="V39" s="70">
        <f>(Table14389[[#This Row],[Commercial Bid Price per case for NOI ($)]]-Table14389[[#This Row],[Pass-Thru Value per case ($)]])+Table14389[[#This Row],[Region 2: Fixed Fee Per Case ($)]]</f>
        <v>0</v>
      </c>
      <c r="W39" s="77" t="e">
        <f>(Table14389[[#This Row],[Commercial Bid Price per case for NOI ($)]]+Table14389[[#This Row],[Region 2: Fixed Fee Per Case ($)]])/Table14389[[#This Row],['# of CN Servings per case]]</f>
        <v>#DIV/0!</v>
      </c>
      <c r="X39" s="72" t="e">
        <f>Table14389[[#This Row],[Total Cost Per Serving (O+Q)/J]]*Table14389[[#This Row],[Estimated Servings Annual]]</f>
        <v>#DIV/0!</v>
      </c>
    </row>
    <row r="40" spans="1:24" x14ac:dyDescent="0.35">
      <c r="A40" s="30" t="s">
        <v>35</v>
      </c>
      <c r="B40" s="44" t="s">
        <v>153</v>
      </c>
      <c r="C40" s="7" t="s">
        <v>13</v>
      </c>
      <c r="D40" s="7"/>
      <c r="E40" s="7"/>
      <c r="F40" s="7"/>
      <c r="G40" s="7"/>
      <c r="H40" s="7"/>
      <c r="I40" s="7"/>
      <c r="J40" s="7"/>
      <c r="K40" s="49">
        <v>300000</v>
      </c>
      <c r="L40" s="7"/>
      <c r="M40" s="7"/>
      <c r="N40" s="7"/>
      <c r="O40" s="7"/>
      <c r="P40" s="7"/>
      <c r="Q40" s="7"/>
      <c r="R40" s="7"/>
      <c r="S40" s="70">
        <f>(Table14389[[#This Row],[Commercial Bid Price per case for NOI ($)]]-Table14389[[#This Row],[Pass-Thru Value per case ($)]])+Table14389[[#This Row],[Region 1: Fixed Fee Per Case ($)]]</f>
        <v>0</v>
      </c>
      <c r="T40" s="77" t="e">
        <f>(Table14389[[#This Row],[Commercial Bid Price per case for NOI ($)]]+Table14389[[#This Row],[Region 1: Fixed Fee Per Case ($)]])/Table14389[[#This Row],['# of CN Servings per case]]</f>
        <v>#DIV/0!</v>
      </c>
      <c r="U40" s="71" t="e">
        <f>Table14389[[#This Row],[Total Cost Per Serving (O+P)/J]]*Table14389[[#This Row],[Estimated Servings Annual]]</f>
        <v>#DIV/0!</v>
      </c>
      <c r="V40" s="70">
        <f>(Table14389[[#This Row],[Commercial Bid Price per case for NOI ($)]]-Table14389[[#This Row],[Pass-Thru Value per case ($)]])+Table14389[[#This Row],[Region 2: Fixed Fee Per Case ($)]]</f>
        <v>0</v>
      </c>
      <c r="W40" s="77" t="e">
        <f>(Table14389[[#This Row],[Commercial Bid Price per case for NOI ($)]]+Table14389[[#This Row],[Region 2: Fixed Fee Per Case ($)]])/Table14389[[#This Row],['# of CN Servings per case]]</f>
        <v>#DIV/0!</v>
      </c>
      <c r="X40" s="72" t="e">
        <f>Table14389[[#This Row],[Total Cost Per Serving (O+Q)/J]]*Table14389[[#This Row],[Estimated Servings Annual]]</f>
        <v>#DIV/0!</v>
      </c>
    </row>
    <row r="41" spans="1:24" x14ac:dyDescent="0.35">
      <c r="A41" s="30" t="s">
        <v>35</v>
      </c>
      <c r="B41" s="44" t="s">
        <v>153</v>
      </c>
      <c r="C41" s="7" t="s">
        <v>13</v>
      </c>
      <c r="D41" s="7"/>
      <c r="E41" s="7"/>
      <c r="F41" s="7"/>
      <c r="G41" s="7"/>
      <c r="H41" s="7"/>
      <c r="I41" s="7"/>
      <c r="J41" s="7"/>
      <c r="K41" s="49">
        <v>300000</v>
      </c>
      <c r="L41" s="7"/>
      <c r="M41" s="7"/>
      <c r="N41" s="7"/>
      <c r="O41" s="7"/>
      <c r="P41" s="7"/>
      <c r="Q41" s="7"/>
      <c r="R41" s="7"/>
      <c r="S41" s="70">
        <f>(Table14389[[#This Row],[Commercial Bid Price per case for NOI ($)]]-Table14389[[#This Row],[Pass-Thru Value per case ($)]])+Table14389[[#This Row],[Region 1: Fixed Fee Per Case ($)]]</f>
        <v>0</v>
      </c>
      <c r="T41" s="77" t="e">
        <f>(Table14389[[#This Row],[Commercial Bid Price per case for NOI ($)]]+Table14389[[#This Row],[Region 1: Fixed Fee Per Case ($)]])/Table14389[[#This Row],['# of CN Servings per case]]</f>
        <v>#DIV/0!</v>
      </c>
      <c r="U41" s="71" t="e">
        <f>Table14389[[#This Row],[Total Cost Per Serving (O+P)/J]]*Table14389[[#This Row],[Estimated Servings Annual]]</f>
        <v>#DIV/0!</v>
      </c>
      <c r="V41" s="70">
        <f>(Table14389[[#This Row],[Commercial Bid Price per case for NOI ($)]]-Table14389[[#This Row],[Pass-Thru Value per case ($)]])+Table14389[[#This Row],[Region 2: Fixed Fee Per Case ($)]]</f>
        <v>0</v>
      </c>
      <c r="W41" s="77" t="e">
        <f>(Table14389[[#This Row],[Commercial Bid Price per case for NOI ($)]]+Table14389[[#This Row],[Region 2: Fixed Fee Per Case ($)]])/Table14389[[#This Row],['# of CN Servings per case]]</f>
        <v>#DIV/0!</v>
      </c>
      <c r="X41" s="72" t="e">
        <f>Table14389[[#This Row],[Total Cost Per Serving (O+Q)/J]]*Table14389[[#This Row],[Estimated Servings Annual]]</f>
        <v>#DIV/0!</v>
      </c>
    </row>
    <row r="42" spans="1:24" ht="15" thickBot="1" x14ac:dyDescent="0.4">
      <c r="A42" s="30" t="s">
        <v>35</v>
      </c>
      <c r="B42" s="44" t="s">
        <v>153</v>
      </c>
      <c r="C42" s="8" t="s">
        <v>13</v>
      </c>
      <c r="D42" s="8"/>
      <c r="E42" s="8"/>
      <c r="F42" s="8"/>
      <c r="G42" s="8"/>
      <c r="H42" s="8"/>
      <c r="I42" s="8"/>
      <c r="J42" s="8"/>
      <c r="K42" s="50">
        <v>300000</v>
      </c>
      <c r="L42" s="8"/>
      <c r="M42" s="8"/>
      <c r="N42" s="8"/>
      <c r="O42" s="8"/>
      <c r="P42" s="8"/>
      <c r="Q42" s="8"/>
      <c r="R42" s="8"/>
      <c r="S42" s="73">
        <f>(Table14389[[#This Row],[Commercial Bid Price per case for NOI ($)]]-Table14389[[#This Row],[Pass-Thru Value per case ($)]])+Table14389[[#This Row],[Region 1: Fixed Fee Per Case ($)]]</f>
        <v>0</v>
      </c>
      <c r="T42" s="78" t="e">
        <f>(Table14389[[#This Row],[Commercial Bid Price per case for NOI ($)]]+Table14389[[#This Row],[Region 1: Fixed Fee Per Case ($)]])/Table14389[[#This Row],['# of CN Servings per case]]</f>
        <v>#DIV/0!</v>
      </c>
      <c r="U42" s="74" t="e">
        <f>Table14389[[#This Row],[Total Cost Per Serving (O+P)/J]]*Table14389[[#This Row],[Estimated Servings Annual]]</f>
        <v>#DIV/0!</v>
      </c>
      <c r="V42" s="73">
        <f>(Table14389[[#This Row],[Commercial Bid Price per case for NOI ($)]]-Table14389[[#This Row],[Pass-Thru Value per case ($)]])+Table14389[[#This Row],[Region 2: Fixed Fee Per Case ($)]]</f>
        <v>0</v>
      </c>
      <c r="W42" s="78" t="e">
        <f>(Table14389[[#This Row],[Commercial Bid Price per case for NOI ($)]]+Table14389[[#This Row],[Region 2: Fixed Fee Per Case ($)]])/Table14389[[#This Row],['# of CN Servings per case]]</f>
        <v>#DIV/0!</v>
      </c>
      <c r="X42" s="75" t="e">
        <f>Table14389[[#This Row],[Total Cost Per Serving (O+Q)/J]]*Table14389[[#This Row],[Estimated Servings Annual]]</f>
        <v>#DIV/0!</v>
      </c>
    </row>
    <row r="43" spans="1:24" x14ac:dyDescent="0.35">
      <c r="A43" s="30" t="s">
        <v>35</v>
      </c>
      <c r="B43" s="42" t="s">
        <v>155</v>
      </c>
      <c r="C43" s="6" t="s">
        <v>24</v>
      </c>
      <c r="D43" s="6"/>
      <c r="E43" s="6"/>
      <c r="F43" s="6"/>
      <c r="G43" s="6"/>
      <c r="H43" s="6"/>
      <c r="I43" s="6"/>
      <c r="J43" s="6"/>
      <c r="K43" s="48">
        <v>1000000</v>
      </c>
      <c r="L43" s="6"/>
      <c r="M43" s="6"/>
      <c r="N43" s="6"/>
      <c r="O43" s="6"/>
      <c r="P43" s="6"/>
      <c r="Q43" s="6"/>
      <c r="R43" s="6"/>
      <c r="S43" s="67">
        <f>(Table14389[[#This Row],[Commercial Bid Price per case for NOI ($)]]-Table14389[[#This Row],[Pass-Thru Value per case ($)]])+Table14389[[#This Row],[Region 1: Fixed Fee Per Case ($)]]</f>
        <v>0</v>
      </c>
      <c r="T43" s="76" t="e">
        <f>(Table14389[[#This Row],[Commercial Bid Price per case for NOI ($)]]+Table14389[[#This Row],[Region 1: Fixed Fee Per Case ($)]])/Table14389[[#This Row],['# of CN Servings per case]]</f>
        <v>#DIV/0!</v>
      </c>
      <c r="U43" s="68" t="e">
        <f>Table14389[[#This Row],[Total Cost Per Serving (O+P)/J]]*Table14389[[#This Row],[Estimated Servings Annual]]</f>
        <v>#DIV/0!</v>
      </c>
      <c r="V43" s="67">
        <f>(Table14389[[#This Row],[Commercial Bid Price per case for NOI ($)]]-Table14389[[#This Row],[Pass-Thru Value per case ($)]])+Table14389[[#This Row],[Region 2: Fixed Fee Per Case ($)]]</f>
        <v>0</v>
      </c>
      <c r="W43" s="76" t="e">
        <f>(Table14389[[#This Row],[Commercial Bid Price per case for NOI ($)]]+Table14389[[#This Row],[Region 2: Fixed Fee Per Case ($)]])/Table14389[[#This Row],['# of CN Servings per case]]</f>
        <v>#DIV/0!</v>
      </c>
      <c r="X43" s="69" t="e">
        <f>Table14389[[#This Row],[Total Cost Per Serving (O+Q)/J]]*Table14389[[#This Row],[Estimated Servings Annual]]</f>
        <v>#DIV/0!</v>
      </c>
    </row>
    <row r="44" spans="1:24" x14ac:dyDescent="0.35">
      <c r="A44" s="30" t="s">
        <v>35</v>
      </c>
      <c r="B44" s="28" t="s">
        <v>155</v>
      </c>
      <c r="C44" s="7" t="s">
        <v>24</v>
      </c>
      <c r="D44" s="7"/>
      <c r="E44" s="7"/>
      <c r="F44" s="7"/>
      <c r="G44" s="7"/>
      <c r="H44" s="7"/>
      <c r="I44" s="7"/>
      <c r="J44" s="7"/>
      <c r="K44" s="49">
        <v>1000000</v>
      </c>
      <c r="L44" s="7"/>
      <c r="M44" s="7"/>
      <c r="N44" s="7"/>
      <c r="O44" s="7"/>
      <c r="P44" s="7"/>
      <c r="Q44" s="7"/>
      <c r="R44" s="7"/>
      <c r="S44" s="70">
        <f>(Table14389[[#This Row],[Commercial Bid Price per case for NOI ($)]]-Table14389[[#This Row],[Pass-Thru Value per case ($)]])+Table14389[[#This Row],[Region 1: Fixed Fee Per Case ($)]]</f>
        <v>0</v>
      </c>
      <c r="T44" s="77" t="e">
        <f>(Table14389[[#This Row],[Commercial Bid Price per case for NOI ($)]]+Table14389[[#This Row],[Region 1: Fixed Fee Per Case ($)]])/Table14389[[#This Row],['# of CN Servings per case]]</f>
        <v>#DIV/0!</v>
      </c>
      <c r="U44" s="71" t="e">
        <f>Table14389[[#This Row],[Total Cost Per Serving (O+P)/J]]*Table14389[[#This Row],[Estimated Servings Annual]]</f>
        <v>#DIV/0!</v>
      </c>
      <c r="V44" s="70">
        <f>(Table14389[[#This Row],[Commercial Bid Price per case for NOI ($)]]-Table14389[[#This Row],[Pass-Thru Value per case ($)]])+Table14389[[#This Row],[Region 2: Fixed Fee Per Case ($)]]</f>
        <v>0</v>
      </c>
      <c r="W44" s="77" t="e">
        <f>(Table14389[[#This Row],[Commercial Bid Price per case for NOI ($)]]+Table14389[[#This Row],[Region 2: Fixed Fee Per Case ($)]])/Table14389[[#This Row],['# of CN Servings per case]]</f>
        <v>#DIV/0!</v>
      </c>
      <c r="X44" s="72" t="e">
        <f>Table14389[[#This Row],[Total Cost Per Serving (O+Q)/J]]*Table14389[[#This Row],[Estimated Servings Annual]]</f>
        <v>#DIV/0!</v>
      </c>
    </row>
    <row r="45" spans="1:24" x14ac:dyDescent="0.35">
      <c r="A45" s="30" t="s">
        <v>35</v>
      </c>
      <c r="B45" s="28" t="s">
        <v>155</v>
      </c>
      <c r="C45" s="7" t="s">
        <v>25</v>
      </c>
      <c r="D45" s="7"/>
      <c r="E45" s="7"/>
      <c r="F45" s="7"/>
      <c r="G45" s="7"/>
      <c r="H45" s="7"/>
      <c r="I45" s="7"/>
      <c r="J45" s="7"/>
      <c r="K45" s="49">
        <v>1000000</v>
      </c>
      <c r="L45" s="7"/>
      <c r="M45" s="7"/>
      <c r="N45" s="7"/>
      <c r="O45" s="7"/>
      <c r="P45" s="7"/>
      <c r="Q45" s="7"/>
      <c r="R45" s="7"/>
      <c r="S45" s="70">
        <f>(Table14389[[#This Row],[Commercial Bid Price per case for NOI ($)]]-Table14389[[#This Row],[Pass-Thru Value per case ($)]])+Table14389[[#This Row],[Region 1: Fixed Fee Per Case ($)]]</f>
        <v>0</v>
      </c>
      <c r="T45" s="77" t="e">
        <f>(Table14389[[#This Row],[Commercial Bid Price per case for NOI ($)]]+Table14389[[#This Row],[Region 1: Fixed Fee Per Case ($)]])/Table14389[[#This Row],['# of CN Servings per case]]</f>
        <v>#DIV/0!</v>
      </c>
      <c r="U45" s="71" t="e">
        <f>Table14389[[#This Row],[Total Cost Per Serving (O+P)/J]]*Table14389[[#This Row],[Estimated Servings Annual]]</f>
        <v>#DIV/0!</v>
      </c>
      <c r="V45" s="70">
        <f>(Table14389[[#This Row],[Commercial Bid Price per case for NOI ($)]]-Table14389[[#This Row],[Pass-Thru Value per case ($)]])+Table14389[[#This Row],[Region 2: Fixed Fee Per Case ($)]]</f>
        <v>0</v>
      </c>
      <c r="W45" s="77" t="e">
        <f>(Table14389[[#This Row],[Commercial Bid Price per case for NOI ($)]]+Table14389[[#This Row],[Region 2: Fixed Fee Per Case ($)]])/Table14389[[#This Row],['# of CN Servings per case]]</f>
        <v>#DIV/0!</v>
      </c>
      <c r="X45" s="72" t="e">
        <f>Table14389[[#This Row],[Total Cost Per Serving (O+Q)/J]]*Table14389[[#This Row],[Estimated Servings Annual]]</f>
        <v>#DIV/0!</v>
      </c>
    </row>
    <row r="46" spans="1:24" x14ac:dyDescent="0.35">
      <c r="A46" s="30" t="s">
        <v>35</v>
      </c>
      <c r="B46" s="28" t="s">
        <v>155</v>
      </c>
      <c r="C46" s="7" t="s">
        <v>25</v>
      </c>
      <c r="D46" s="7"/>
      <c r="E46" s="7"/>
      <c r="F46" s="7"/>
      <c r="G46" s="7"/>
      <c r="H46" s="7"/>
      <c r="I46" s="7"/>
      <c r="J46" s="7"/>
      <c r="K46" s="49">
        <v>1000000</v>
      </c>
      <c r="L46" s="7"/>
      <c r="M46" s="7"/>
      <c r="N46" s="7"/>
      <c r="O46" s="7"/>
      <c r="P46" s="7"/>
      <c r="Q46" s="7"/>
      <c r="R46" s="7"/>
      <c r="S46" s="70">
        <f>(Table14389[[#This Row],[Commercial Bid Price per case for NOI ($)]]-Table14389[[#This Row],[Pass-Thru Value per case ($)]])+Table14389[[#This Row],[Region 1: Fixed Fee Per Case ($)]]</f>
        <v>0</v>
      </c>
      <c r="T46" s="77" t="e">
        <f>(Table14389[[#This Row],[Commercial Bid Price per case for NOI ($)]]+Table14389[[#This Row],[Region 1: Fixed Fee Per Case ($)]])/Table14389[[#This Row],['# of CN Servings per case]]</f>
        <v>#DIV/0!</v>
      </c>
      <c r="U46" s="71" t="e">
        <f>Table14389[[#This Row],[Total Cost Per Serving (O+P)/J]]*Table14389[[#This Row],[Estimated Servings Annual]]</f>
        <v>#DIV/0!</v>
      </c>
      <c r="V46" s="70">
        <f>(Table14389[[#This Row],[Commercial Bid Price per case for NOI ($)]]-Table14389[[#This Row],[Pass-Thru Value per case ($)]])+Table14389[[#This Row],[Region 2: Fixed Fee Per Case ($)]]</f>
        <v>0</v>
      </c>
      <c r="W46" s="77" t="e">
        <f>(Table14389[[#This Row],[Commercial Bid Price per case for NOI ($)]]+Table14389[[#This Row],[Region 2: Fixed Fee Per Case ($)]])/Table14389[[#This Row],['# of CN Servings per case]]</f>
        <v>#DIV/0!</v>
      </c>
      <c r="X46" s="72" t="e">
        <f>Table14389[[#This Row],[Total Cost Per Serving (O+Q)/J]]*Table14389[[#This Row],[Estimated Servings Annual]]</f>
        <v>#DIV/0!</v>
      </c>
    </row>
    <row r="47" spans="1:24" x14ac:dyDescent="0.35">
      <c r="A47" s="30" t="s">
        <v>35</v>
      </c>
      <c r="B47" s="28" t="s">
        <v>155</v>
      </c>
      <c r="C47" s="7" t="s">
        <v>13</v>
      </c>
      <c r="D47" s="7"/>
      <c r="E47" s="7"/>
      <c r="F47" s="7"/>
      <c r="G47" s="7"/>
      <c r="H47" s="7"/>
      <c r="I47" s="7"/>
      <c r="J47" s="7"/>
      <c r="K47" s="49">
        <v>1000000</v>
      </c>
      <c r="L47" s="7"/>
      <c r="M47" s="7"/>
      <c r="N47" s="7"/>
      <c r="O47" s="7"/>
      <c r="P47" s="7"/>
      <c r="Q47" s="7"/>
      <c r="R47" s="7"/>
      <c r="S47" s="70">
        <f>(Table14389[[#This Row],[Commercial Bid Price per case for NOI ($)]]-Table14389[[#This Row],[Pass-Thru Value per case ($)]])+Table14389[[#This Row],[Region 1: Fixed Fee Per Case ($)]]</f>
        <v>0</v>
      </c>
      <c r="T47" s="77" t="e">
        <f>(Table14389[[#This Row],[Commercial Bid Price per case for NOI ($)]]+Table14389[[#This Row],[Region 1: Fixed Fee Per Case ($)]])/Table14389[[#This Row],['# of CN Servings per case]]</f>
        <v>#DIV/0!</v>
      </c>
      <c r="U47" s="71" t="e">
        <f>Table14389[[#This Row],[Total Cost Per Serving (O+P)/J]]*Table14389[[#This Row],[Estimated Servings Annual]]</f>
        <v>#DIV/0!</v>
      </c>
      <c r="V47" s="70">
        <f>(Table14389[[#This Row],[Commercial Bid Price per case for NOI ($)]]-Table14389[[#This Row],[Pass-Thru Value per case ($)]])+Table14389[[#This Row],[Region 2: Fixed Fee Per Case ($)]]</f>
        <v>0</v>
      </c>
      <c r="W47" s="77" t="e">
        <f>(Table14389[[#This Row],[Commercial Bid Price per case for NOI ($)]]+Table14389[[#This Row],[Region 2: Fixed Fee Per Case ($)]])/Table14389[[#This Row],['# of CN Servings per case]]</f>
        <v>#DIV/0!</v>
      </c>
      <c r="X47" s="72" t="e">
        <f>Table14389[[#This Row],[Total Cost Per Serving (O+Q)/J]]*Table14389[[#This Row],[Estimated Servings Annual]]</f>
        <v>#DIV/0!</v>
      </c>
    </row>
    <row r="48" spans="1:24" x14ac:dyDescent="0.35">
      <c r="A48" s="30" t="s">
        <v>35</v>
      </c>
      <c r="B48" s="28" t="s">
        <v>155</v>
      </c>
      <c r="C48" s="7" t="s">
        <v>13</v>
      </c>
      <c r="D48" s="7"/>
      <c r="E48" s="7"/>
      <c r="F48" s="7"/>
      <c r="G48" s="7"/>
      <c r="H48" s="7"/>
      <c r="I48" s="7"/>
      <c r="J48" s="7"/>
      <c r="K48" s="49">
        <v>1000000</v>
      </c>
      <c r="L48" s="7"/>
      <c r="M48" s="7"/>
      <c r="N48" s="7"/>
      <c r="O48" s="7"/>
      <c r="P48" s="7"/>
      <c r="Q48" s="7"/>
      <c r="R48" s="7"/>
      <c r="S48" s="70">
        <f>(Table14389[[#This Row],[Commercial Bid Price per case for NOI ($)]]-Table14389[[#This Row],[Pass-Thru Value per case ($)]])+Table14389[[#This Row],[Region 1: Fixed Fee Per Case ($)]]</f>
        <v>0</v>
      </c>
      <c r="T48" s="77" t="e">
        <f>(Table14389[[#This Row],[Commercial Bid Price per case for NOI ($)]]+Table14389[[#This Row],[Region 1: Fixed Fee Per Case ($)]])/Table14389[[#This Row],['# of CN Servings per case]]</f>
        <v>#DIV/0!</v>
      </c>
      <c r="U48" s="71" t="e">
        <f>Table14389[[#This Row],[Total Cost Per Serving (O+P)/J]]*Table14389[[#This Row],[Estimated Servings Annual]]</f>
        <v>#DIV/0!</v>
      </c>
      <c r="V48" s="70">
        <f>(Table14389[[#This Row],[Commercial Bid Price per case for NOI ($)]]-Table14389[[#This Row],[Pass-Thru Value per case ($)]])+Table14389[[#This Row],[Region 2: Fixed Fee Per Case ($)]]</f>
        <v>0</v>
      </c>
      <c r="W48" s="77" t="e">
        <f>(Table14389[[#This Row],[Commercial Bid Price per case for NOI ($)]]+Table14389[[#This Row],[Region 2: Fixed Fee Per Case ($)]])/Table14389[[#This Row],['# of CN Servings per case]]</f>
        <v>#DIV/0!</v>
      </c>
      <c r="X48" s="72" t="e">
        <f>Table14389[[#This Row],[Total Cost Per Serving (O+Q)/J]]*Table14389[[#This Row],[Estimated Servings Annual]]</f>
        <v>#DIV/0!</v>
      </c>
    </row>
    <row r="49" spans="1:24" x14ac:dyDescent="0.35">
      <c r="A49" s="30" t="s">
        <v>35</v>
      </c>
      <c r="B49" s="28" t="s">
        <v>155</v>
      </c>
      <c r="C49" s="7" t="s">
        <v>13</v>
      </c>
      <c r="D49" s="7"/>
      <c r="E49" s="7"/>
      <c r="F49" s="7"/>
      <c r="G49" s="7"/>
      <c r="H49" s="7"/>
      <c r="I49" s="7"/>
      <c r="J49" s="7"/>
      <c r="K49" s="49">
        <v>1000000</v>
      </c>
      <c r="L49" s="7"/>
      <c r="M49" s="7"/>
      <c r="N49" s="7"/>
      <c r="O49" s="7"/>
      <c r="P49" s="7"/>
      <c r="Q49" s="7"/>
      <c r="R49" s="7"/>
      <c r="S49" s="70">
        <f>(Table14389[[#This Row],[Commercial Bid Price per case for NOI ($)]]-Table14389[[#This Row],[Pass-Thru Value per case ($)]])+Table14389[[#This Row],[Region 1: Fixed Fee Per Case ($)]]</f>
        <v>0</v>
      </c>
      <c r="T49" s="77" t="e">
        <f>(Table14389[[#This Row],[Commercial Bid Price per case for NOI ($)]]+Table14389[[#This Row],[Region 1: Fixed Fee Per Case ($)]])/Table14389[[#This Row],['# of CN Servings per case]]</f>
        <v>#DIV/0!</v>
      </c>
      <c r="U49" s="71" t="e">
        <f>Table14389[[#This Row],[Total Cost Per Serving (O+P)/J]]*Table14389[[#This Row],[Estimated Servings Annual]]</f>
        <v>#DIV/0!</v>
      </c>
      <c r="V49" s="70">
        <f>(Table14389[[#This Row],[Commercial Bid Price per case for NOI ($)]]-Table14389[[#This Row],[Pass-Thru Value per case ($)]])+Table14389[[#This Row],[Region 2: Fixed Fee Per Case ($)]]</f>
        <v>0</v>
      </c>
      <c r="W49" s="77" t="e">
        <f>(Table14389[[#This Row],[Commercial Bid Price per case for NOI ($)]]+Table14389[[#This Row],[Region 2: Fixed Fee Per Case ($)]])/Table14389[[#This Row],['# of CN Servings per case]]</f>
        <v>#DIV/0!</v>
      </c>
      <c r="X49" s="72" t="e">
        <f>Table14389[[#This Row],[Total Cost Per Serving (O+Q)/J]]*Table14389[[#This Row],[Estimated Servings Annual]]</f>
        <v>#DIV/0!</v>
      </c>
    </row>
    <row r="50" spans="1:24" ht="15" thickBot="1" x14ac:dyDescent="0.4">
      <c r="A50" s="30" t="s">
        <v>35</v>
      </c>
      <c r="B50" s="28" t="s">
        <v>155</v>
      </c>
      <c r="C50" s="8" t="s">
        <v>13</v>
      </c>
      <c r="D50" s="8"/>
      <c r="E50" s="8"/>
      <c r="F50" s="8"/>
      <c r="G50" s="8"/>
      <c r="H50" s="8"/>
      <c r="I50" s="8"/>
      <c r="J50" s="8"/>
      <c r="K50" s="50">
        <v>1000000</v>
      </c>
      <c r="L50" s="8"/>
      <c r="M50" s="8"/>
      <c r="N50" s="8"/>
      <c r="O50" s="8"/>
      <c r="P50" s="8"/>
      <c r="Q50" s="8"/>
      <c r="R50" s="8"/>
      <c r="S50" s="73">
        <f>(Table14389[[#This Row],[Commercial Bid Price per case for NOI ($)]]-Table14389[[#This Row],[Pass-Thru Value per case ($)]])+Table14389[[#This Row],[Region 1: Fixed Fee Per Case ($)]]</f>
        <v>0</v>
      </c>
      <c r="T50" s="78" t="e">
        <f>(Table14389[[#This Row],[Commercial Bid Price per case for NOI ($)]]+Table14389[[#This Row],[Region 1: Fixed Fee Per Case ($)]])/Table14389[[#This Row],['# of CN Servings per case]]</f>
        <v>#DIV/0!</v>
      </c>
      <c r="U50" s="74" t="e">
        <f>Table14389[[#This Row],[Total Cost Per Serving (O+P)/J]]*Table14389[[#This Row],[Estimated Servings Annual]]</f>
        <v>#DIV/0!</v>
      </c>
      <c r="V50" s="73">
        <f>(Table14389[[#This Row],[Commercial Bid Price per case for NOI ($)]]-Table14389[[#This Row],[Pass-Thru Value per case ($)]])+Table14389[[#This Row],[Region 2: Fixed Fee Per Case ($)]]</f>
        <v>0</v>
      </c>
      <c r="W50" s="78" t="e">
        <f>(Table14389[[#This Row],[Commercial Bid Price per case for NOI ($)]]+Table14389[[#This Row],[Region 2: Fixed Fee Per Case ($)]])/Table14389[[#This Row],['# of CN Servings per case]]</f>
        <v>#DIV/0!</v>
      </c>
      <c r="X50" s="75" t="e">
        <f>Table14389[[#This Row],[Total Cost Per Serving (O+Q)/J]]*Table14389[[#This Row],[Estimated Servings Annual]]</f>
        <v>#DIV/0!</v>
      </c>
    </row>
    <row r="51" spans="1:24" x14ac:dyDescent="0.35">
      <c r="A51" s="30" t="s">
        <v>35</v>
      </c>
      <c r="B51" s="42" t="s">
        <v>154</v>
      </c>
      <c r="C51" s="6" t="s">
        <v>24</v>
      </c>
      <c r="D51" s="6"/>
      <c r="E51" s="6"/>
      <c r="F51" s="6"/>
      <c r="G51" s="6"/>
      <c r="H51" s="6"/>
      <c r="I51" s="6"/>
      <c r="J51" s="6"/>
      <c r="K51" s="48">
        <v>200000</v>
      </c>
      <c r="L51" s="6"/>
      <c r="M51" s="6"/>
      <c r="N51" s="6"/>
      <c r="O51" s="6"/>
      <c r="P51" s="6"/>
      <c r="Q51" s="6"/>
      <c r="R51" s="6"/>
      <c r="S51" s="67">
        <f>(Table14389[[#This Row],[Commercial Bid Price per case for NOI ($)]]-Table14389[[#This Row],[Pass-Thru Value per case ($)]])+Table14389[[#This Row],[Region 1: Fixed Fee Per Case ($)]]</f>
        <v>0</v>
      </c>
      <c r="T51" s="76" t="e">
        <f>(Table14389[[#This Row],[Commercial Bid Price per case for NOI ($)]]+Table14389[[#This Row],[Region 1: Fixed Fee Per Case ($)]])/Table14389[[#This Row],['# of CN Servings per case]]</f>
        <v>#DIV/0!</v>
      </c>
      <c r="U51" s="68" t="e">
        <f>Table14389[[#This Row],[Total Cost Per Serving (O+P)/J]]*Table14389[[#This Row],[Estimated Servings Annual]]</f>
        <v>#DIV/0!</v>
      </c>
      <c r="V51" s="67">
        <f>(Table14389[[#This Row],[Commercial Bid Price per case for NOI ($)]]-Table14389[[#This Row],[Pass-Thru Value per case ($)]])+Table14389[[#This Row],[Region 2: Fixed Fee Per Case ($)]]</f>
        <v>0</v>
      </c>
      <c r="W51" s="76" t="e">
        <f>(Table14389[[#This Row],[Commercial Bid Price per case for NOI ($)]]+Table14389[[#This Row],[Region 2: Fixed Fee Per Case ($)]])/Table14389[[#This Row],['# of CN Servings per case]]</f>
        <v>#DIV/0!</v>
      </c>
      <c r="X51" s="69" t="e">
        <f>Table14389[[#This Row],[Total Cost Per Serving (O+Q)/J]]*Table14389[[#This Row],[Estimated Servings Annual]]</f>
        <v>#DIV/0!</v>
      </c>
    </row>
    <row r="52" spans="1:24" x14ac:dyDescent="0.35">
      <c r="A52" s="30" t="s">
        <v>35</v>
      </c>
      <c r="B52" s="28" t="s">
        <v>154</v>
      </c>
      <c r="C52" s="7" t="s">
        <v>24</v>
      </c>
      <c r="D52" s="7"/>
      <c r="E52" s="7"/>
      <c r="F52" s="7"/>
      <c r="G52" s="7"/>
      <c r="H52" s="7"/>
      <c r="I52" s="7"/>
      <c r="J52" s="7"/>
      <c r="K52" s="49">
        <v>200000</v>
      </c>
      <c r="L52" s="7"/>
      <c r="M52" s="7"/>
      <c r="N52" s="7"/>
      <c r="O52" s="7"/>
      <c r="P52" s="7"/>
      <c r="Q52" s="7"/>
      <c r="R52" s="7"/>
      <c r="S52" s="70">
        <f>(Table14389[[#This Row],[Commercial Bid Price per case for NOI ($)]]-Table14389[[#This Row],[Pass-Thru Value per case ($)]])+Table14389[[#This Row],[Region 1: Fixed Fee Per Case ($)]]</f>
        <v>0</v>
      </c>
      <c r="T52" s="77" t="e">
        <f>(Table14389[[#This Row],[Commercial Bid Price per case for NOI ($)]]+Table14389[[#This Row],[Region 1: Fixed Fee Per Case ($)]])/Table14389[[#This Row],['# of CN Servings per case]]</f>
        <v>#DIV/0!</v>
      </c>
      <c r="U52" s="71" t="e">
        <f>Table14389[[#This Row],[Total Cost Per Serving (O+P)/J]]*Table14389[[#This Row],[Estimated Servings Annual]]</f>
        <v>#DIV/0!</v>
      </c>
      <c r="V52" s="70">
        <f>(Table14389[[#This Row],[Commercial Bid Price per case for NOI ($)]]-Table14389[[#This Row],[Pass-Thru Value per case ($)]])+Table14389[[#This Row],[Region 2: Fixed Fee Per Case ($)]]</f>
        <v>0</v>
      </c>
      <c r="W52" s="77" t="e">
        <f>(Table14389[[#This Row],[Commercial Bid Price per case for NOI ($)]]+Table14389[[#This Row],[Region 2: Fixed Fee Per Case ($)]])/Table14389[[#This Row],['# of CN Servings per case]]</f>
        <v>#DIV/0!</v>
      </c>
      <c r="X52" s="72" t="e">
        <f>Table14389[[#This Row],[Total Cost Per Serving (O+Q)/J]]*Table14389[[#This Row],[Estimated Servings Annual]]</f>
        <v>#DIV/0!</v>
      </c>
    </row>
    <row r="53" spans="1:24" x14ac:dyDescent="0.35">
      <c r="A53" s="30" t="s">
        <v>35</v>
      </c>
      <c r="B53" s="28" t="s">
        <v>154</v>
      </c>
      <c r="C53" s="7" t="s">
        <v>25</v>
      </c>
      <c r="D53" s="7"/>
      <c r="E53" s="7"/>
      <c r="F53" s="7"/>
      <c r="G53" s="7"/>
      <c r="H53" s="7"/>
      <c r="I53" s="7"/>
      <c r="J53" s="7"/>
      <c r="K53" s="49">
        <v>200000</v>
      </c>
      <c r="L53" s="7"/>
      <c r="M53" s="7"/>
      <c r="N53" s="7"/>
      <c r="O53" s="7"/>
      <c r="P53" s="7"/>
      <c r="Q53" s="7"/>
      <c r="R53" s="7"/>
      <c r="S53" s="70">
        <f>(Table14389[[#This Row],[Commercial Bid Price per case for NOI ($)]]-Table14389[[#This Row],[Pass-Thru Value per case ($)]])+Table14389[[#This Row],[Region 1: Fixed Fee Per Case ($)]]</f>
        <v>0</v>
      </c>
      <c r="T53" s="77" t="e">
        <f>(Table14389[[#This Row],[Commercial Bid Price per case for NOI ($)]]+Table14389[[#This Row],[Region 1: Fixed Fee Per Case ($)]])/Table14389[[#This Row],['# of CN Servings per case]]</f>
        <v>#DIV/0!</v>
      </c>
      <c r="U53" s="71" t="e">
        <f>Table14389[[#This Row],[Total Cost Per Serving (O+P)/J]]*Table14389[[#This Row],[Estimated Servings Annual]]</f>
        <v>#DIV/0!</v>
      </c>
      <c r="V53" s="70">
        <f>(Table14389[[#This Row],[Commercial Bid Price per case for NOI ($)]]-Table14389[[#This Row],[Pass-Thru Value per case ($)]])+Table14389[[#This Row],[Region 2: Fixed Fee Per Case ($)]]</f>
        <v>0</v>
      </c>
      <c r="W53" s="77" t="e">
        <f>(Table14389[[#This Row],[Commercial Bid Price per case for NOI ($)]]+Table14389[[#This Row],[Region 2: Fixed Fee Per Case ($)]])/Table14389[[#This Row],['# of CN Servings per case]]</f>
        <v>#DIV/0!</v>
      </c>
      <c r="X53" s="72" t="e">
        <f>Table14389[[#This Row],[Total Cost Per Serving (O+Q)/J]]*Table14389[[#This Row],[Estimated Servings Annual]]</f>
        <v>#DIV/0!</v>
      </c>
    </row>
    <row r="54" spans="1:24" x14ac:dyDescent="0.35">
      <c r="A54" s="30" t="s">
        <v>35</v>
      </c>
      <c r="B54" s="28" t="s">
        <v>154</v>
      </c>
      <c r="C54" s="7" t="s">
        <v>25</v>
      </c>
      <c r="D54" s="7"/>
      <c r="E54" s="7"/>
      <c r="F54" s="7"/>
      <c r="G54" s="7"/>
      <c r="H54" s="7"/>
      <c r="I54" s="7"/>
      <c r="J54" s="7"/>
      <c r="K54" s="49">
        <v>200000</v>
      </c>
      <c r="L54" s="7"/>
      <c r="M54" s="7"/>
      <c r="N54" s="7"/>
      <c r="O54" s="7"/>
      <c r="P54" s="7"/>
      <c r="Q54" s="7"/>
      <c r="R54" s="7"/>
      <c r="S54" s="70">
        <f>(Table14389[[#This Row],[Commercial Bid Price per case for NOI ($)]]-Table14389[[#This Row],[Pass-Thru Value per case ($)]])+Table14389[[#This Row],[Region 1: Fixed Fee Per Case ($)]]</f>
        <v>0</v>
      </c>
      <c r="T54" s="77" t="e">
        <f>(Table14389[[#This Row],[Commercial Bid Price per case for NOI ($)]]+Table14389[[#This Row],[Region 1: Fixed Fee Per Case ($)]])/Table14389[[#This Row],['# of CN Servings per case]]</f>
        <v>#DIV/0!</v>
      </c>
      <c r="U54" s="71" t="e">
        <f>Table14389[[#This Row],[Total Cost Per Serving (O+P)/J]]*Table14389[[#This Row],[Estimated Servings Annual]]</f>
        <v>#DIV/0!</v>
      </c>
      <c r="V54" s="70">
        <f>(Table14389[[#This Row],[Commercial Bid Price per case for NOI ($)]]-Table14389[[#This Row],[Pass-Thru Value per case ($)]])+Table14389[[#This Row],[Region 2: Fixed Fee Per Case ($)]]</f>
        <v>0</v>
      </c>
      <c r="W54" s="77" t="e">
        <f>(Table14389[[#This Row],[Commercial Bid Price per case for NOI ($)]]+Table14389[[#This Row],[Region 2: Fixed Fee Per Case ($)]])/Table14389[[#This Row],['# of CN Servings per case]]</f>
        <v>#DIV/0!</v>
      </c>
      <c r="X54" s="72" t="e">
        <f>Table14389[[#This Row],[Total Cost Per Serving (O+Q)/J]]*Table14389[[#This Row],[Estimated Servings Annual]]</f>
        <v>#DIV/0!</v>
      </c>
    </row>
    <row r="55" spans="1:24" x14ac:dyDescent="0.35">
      <c r="A55" s="30" t="s">
        <v>35</v>
      </c>
      <c r="B55" s="28" t="s">
        <v>154</v>
      </c>
      <c r="C55" s="7" t="s">
        <v>13</v>
      </c>
      <c r="D55" s="7"/>
      <c r="E55" s="7"/>
      <c r="F55" s="7"/>
      <c r="G55" s="7"/>
      <c r="H55" s="7"/>
      <c r="I55" s="7"/>
      <c r="J55" s="7"/>
      <c r="K55" s="49">
        <v>200000</v>
      </c>
      <c r="L55" s="7"/>
      <c r="M55" s="7"/>
      <c r="N55" s="7"/>
      <c r="O55" s="7"/>
      <c r="P55" s="7"/>
      <c r="Q55" s="7"/>
      <c r="R55" s="7"/>
      <c r="S55" s="70">
        <f>(Table14389[[#This Row],[Commercial Bid Price per case for NOI ($)]]-Table14389[[#This Row],[Pass-Thru Value per case ($)]])+Table14389[[#This Row],[Region 1: Fixed Fee Per Case ($)]]</f>
        <v>0</v>
      </c>
      <c r="T55" s="77" t="e">
        <f>(Table14389[[#This Row],[Commercial Bid Price per case for NOI ($)]]+Table14389[[#This Row],[Region 1: Fixed Fee Per Case ($)]])/Table14389[[#This Row],['# of CN Servings per case]]</f>
        <v>#DIV/0!</v>
      </c>
      <c r="U55" s="71" t="e">
        <f>Table14389[[#This Row],[Total Cost Per Serving (O+P)/J]]*Table14389[[#This Row],[Estimated Servings Annual]]</f>
        <v>#DIV/0!</v>
      </c>
      <c r="V55" s="70">
        <f>(Table14389[[#This Row],[Commercial Bid Price per case for NOI ($)]]-Table14389[[#This Row],[Pass-Thru Value per case ($)]])+Table14389[[#This Row],[Region 2: Fixed Fee Per Case ($)]]</f>
        <v>0</v>
      </c>
      <c r="W55" s="77" t="e">
        <f>(Table14389[[#This Row],[Commercial Bid Price per case for NOI ($)]]+Table14389[[#This Row],[Region 2: Fixed Fee Per Case ($)]])/Table14389[[#This Row],['# of CN Servings per case]]</f>
        <v>#DIV/0!</v>
      </c>
      <c r="X55" s="72" t="e">
        <f>Table14389[[#This Row],[Total Cost Per Serving (O+Q)/J]]*Table14389[[#This Row],[Estimated Servings Annual]]</f>
        <v>#DIV/0!</v>
      </c>
    </row>
    <row r="56" spans="1:24" x14ac:dyDescent="0.35">
      <c r="A56" s="30" t="s">
        <v>35</v>
      </c>
      <c r="B56" s="28" t="s">
        <v>154</v>
      </c>
      <c r="C56" s="7" t="s">
        <v>13</v>
      </c>
      <c r="D56" s="7"/>
      <c r="E56" s="7"/>
      <c r="F56" s="7"/>
      <c r="G56" s="7"/>
      <c r="H56" s="7"/>
      <c r="I56" s="7"/>
      <c r="J56" s="7"/>
      <c r="K56" s="49">
        <v>200000</v>
      </c>
      <c r="L56" s="7"/>
      <c r="M56" s="7"/>
      <c r="N56" s="7"/>
      <c r="O56" s="7"/>
      <c r="P56" s="7"/>
      <c r="Q56" s="7"/>
      <c r="R56" s="7"/>
      <c r="S56" s="70">
        <f>(Table14389[[#This Row],[Commercial Bid Price per case for NOI ($)]]-Table14389[[#This Row],[Pass-Thru Value per case ($)]])+Table14389[[#This Row],[Region 1: Fixed Fee Per Case ($)]]</f>
        <v>0</v>
      </c>
      <c r="T56" s="77" t="e">
        <f>(Table14389[[#This Row],[Commercial Bid Price per case for NOI ($)]]+Table14389[[#This Row],[Region 1: Fixed Fee Per Case ($)]])/Table14389[[#This Row],['# of CN Servings per case]]</f>
        <v>#DIV/0!</v>
      </c>
      <c r="U56" s="71" t="e">
        <f>Table14389[[#This Row],[Total Cost Per Serving (O+P)/J]]*Table14389[[#This Row],[Estimated Servings Annual]]</f>
        <v>#DIV/0!</v>
      </c>
      <c r="V56" s="70">
        <f>(Table14389[[#This Row],[Commercial Bid Price per case for NOI ($)]]-Table14389[[#This Row],[Pass-Thru Value per case ($)]])+Table14389[[#This Row],[Region 2: Fixed Fee Per Case ($)]]</f>
        <v>0</v>
      </c>
      <c r="W56" s="77" t="e">
        <f>(Table14389[[#This Row],[Commercial Bid Price per case for NOI ($)]]+Table14389[[#This Row],[Region 2: Fixed Fee Per Case ($)]])/Table14389[[#This Row],['# of CN Servings per case]]</f>
        <v>#DIV/0!</v>
      </c>
      <c r="X56" s="72" t="e">
        <f>Table14389[[#This Row],[Total Cost Per Serving (O+Q)/J]]*Table14389[[#This Row],[Estimated Servings Annual]]</f>
        <v>#DIV/0!</v>
      </c>
    </row>
    <row r="57" spans="1:24" x14ac:dyDescent="0.35">
      <c r="A57" s="30" t="s">
        <v>35</v>
      </c>
      <c r="B57" s="28" t="s">
        <v>154</v>
      </c>
      <c r="C57" s="7" t="s">
        <v>13</v>
      </c>
      <c r="D57" s="7"/>
      <c r="E57" s="7"/>
      <c r="F57" s="7"/>
      <c r="G57" s="7"/>
      <c r="H57" s="7"/>
      <c r="I57" s="7"/>
      <c r="J57" s="7"/>
      <c r="K57" s="49">
        <v>200000</v>
      </c>
      <c r="L57" s="7"/>
      <c r="M57" s="7"/>
      <c r="N57" s="7"/>
      <c r="O57" s="7"/>
      <c r="P57" s="7"/>
      <c r="Q57" s="7"/>
      <c r="R57" s="7"/>
      <c r="S57" s="70">
        <f>(Table14389[[#This Row],[Commercial Bid Price per case for NOI ($)]]-Table14389[[#This Row],[Pass-Thru Value per case ($)]])+Table14389[[#This Row],[Region 1: Fixed Fee Per Case ($)]]</f>
        <v>0</v>
      </c>
      <c r="T57" s="77" t="e">
        <f>(Table14389[[#This Row],[Commercial Bid Price per case for NOI ($)]]+Table14389[[#This Row],[Region 1: Fixed Fee Per Case ($)]])/Table14389[[#This Row],['# of CN Servings per case]]</f>
        <v>#DIV/0!</v>
      </c>
      <c r="U57" s="71" t="e">
        <f>Table14389[[#This Row],[Total Cost Per Serving (O+P)/J]]*Table14389[[#This Row],[Estimated Servings Annual]]</f>
        <v>#DIV/0!</v>
      </c>
      <c r="V57" s="70">
        <f>(Table14389[[#This Row],[Commercial Bid Price per case for NOI ($)]]-Table14389[[#This Row],[Pass-Thru Value per case ($)]])+Table14389[[#This Row],[Region 2: Fixed Fee Per Case ($)]]</f>
        <v>0</v>
      </c>
      <c r="W57" s="77" t="e">
        <f>(Table14389[[#This Row],[Commercial Bid Price per case for NOI ($)]]+Table14389[[#This Row],[Region 2: Fixed Fee Per Case ($)]])/Table14389[[#This Row],['# of CN Servings per case]]</f>
        <v>#DIV/0!</v>
      </c>
      <c r="X57" s="72" t="e">
        <f>Table14389[[#This Row],[Total Cost Per Serving (O+Q)/J]]*Table14389[[#This Row],[Estimated Servings Annual]]</f>
        <v>#DIV/0!</v>
      </c>
    </row>
    <row r="58" spans="1:24" ht="15" thickBot="1" x14ac:dyDescent="0.4">
      <c r="A58" s="30" t="s">
        <v>35</v>
      </c>
      <c r="B58" s="28" t="s">
        <v>154</v>
      </c>
      <c r="C58" s="8" t="s">
        <v>13</v>
      </c>
      <c r="D58" s="8"/>
      <c r="E58" s="8"/>
      <c r="F58" s="8"/>
      <c r="G58" s="8"/>
      <c r="H58" s="8"/>
      <c r="I58" s="8"/>
      <c r="J58" s="8"/>
      <c r="K58" s="50">
        <v>200000</v>
      </c>
      <c r="L58" s="8"/>
      <c r="M58" s="8"/>
      <c r="N58" s="8"/>
      <c r="O58" s="8"/>
      <c r="P58" s="8"/>
      <c r="Q58" s="8"/>
      <c r="R58" s="8"/>
      <c r="S58" s="73">
        <f>(Table14389[[#This Row],[Commercial Bid Price per case for NOI ($)]]-Table14389[[#This Row],[Pass-Thru Value per case ($)]])+Table14389[[#This Row],[Region 1: Fixed Fee Per Case ($)]]</f>
        <v>0</v>
      </c>
      <c r="T58" s="78" t="e">
        <f>(Table14389[[#This Row],[Commercial Bid Price per case for NOI ($)]]+Table14389[[#This Row],[Region 1: Fixed Fee Per Case ($)]])/Table14389[[#This Row],['# of CN Servings per case]]</f>
        <v>#DIV/0!</v>
      </c>
      <c r="U58" s="74" t="e">
        <f>Table14389[[#This Row],[Total Cost Per Serving (O+P)/J]]*Table14389[[#This Row],[Estimated Servings Annual]]</f>
        <v>#DIV/0!</v>
      </c>
      <c r="V58" s="73">
        <f>(Table14389[[#This Row],[Commercial Bid Price per case for NOI ($)]]-Table14389[[#This Row],[Pass-Thru Value per case ($)]])+Table14389[[#This Row],[Region 2: Fixed Fee Per Case ($)]]</f>
        <v>0</v>
      </c>
      <c r="W58" s="78" t="e">
        <f>(Table14389[[#This Row],[Commercial Bid Price per case for NOI ($)]]+Table14389[[#This Row],[Region 2: Fixed Fee Per Case ($)]])/Table14389[[#This Row],['# of CN Servings per case]]</f>
        <v>#DIV/0!</v>
      </c>
      <c r="X58" s="75" t="e">
        <f>Table14389[[#This Row],[Total Cost Per Serving (O+Q)/J]]*Table14389[[#This Row],[Estimated Servings Annual]]</f>
        <v>#DIV/0!</v>
      </c>
    </row>
  </sheetData>
  <sheetProtection algorithmName="SHA-512" hashValue="xrY9q+AB+jWN+6E23POBy9Umokf3/ZqoJnOjGly20F8V8KBw2R2kiGdusAXYW1wQLNZVxHD9Zf9Uh2JM6iPD5Q==" saltValue="lCRTPugMq8+fm8DXRxhYDg==" spinCount="100000" sheet="1" objects="1" scenarios="1" formatCells="0" formatColumns="0"/>
  <mergeCells count="3">
    <mergeCell ref="E1:G1"/>
    <mergeCell ref="S1:U1"/>
    <mergeCell ref="V1:X1"/>
  </mergeCells>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Beef</vt:lpstr>
      <vt:lpstr>Pork</vt:lpstr>
      <vt:lpstr>Chicken</vt:lpstr>
      <vt:lpstr>Other Poultry</vt:lpstr>
      <vt:lpstr>Eggs</vt:lpstr>
      <vt:lpstr>Mozzarella</vt:lpstr>
      <vt:lpstr>Cheese</vt:lpstr>
      <vt:lpstr>Fruit</vt:lpstr>
      <vt:lpstr>Peanut Butter</vt:lpstr>
      <vt:lpstr>Potato</vt:lpstr>
      <vt:lpstr>Tomato</vt:lpstr>
      <vt:lpstr>Sheet3</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White, Sarah [IDOE]</dc:creator>
  <cp:lastModifiedBy>White, Sarah [IDOE]</cp:lastModifiedBy>
  <dcterms:created xsi:type="dcterms:W3CDTF">2019-06-28T16:12:29Z</dcterms:created>
  <dcterms:modified xsi:type="dcterms:W3CDTF">2024-11-15T20:46:13Z</dcterms:modified>
</cp:coreProperties>
</file>